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11955"/>
  </bookViews>
  <sheets>
    <sheet name="ALCOSAN Eastern Basin" sheetId="1" r:id="rId1"/>
    <sheet name="ALCOSAN Northern Basin" sheetId="2" r:id="rId2"/>
    <sheet name="ALCOSAN Southern Basin" sheetId="3" r:id="rId3"/>
  </sheets>
  <definedNames>
    <definedName name="_xlnm.Print_Area" localSheetId="0">'ALCOSAN Eastern Basin'!$A$1:$S$39</definedName>
    <definedName name="_xlnm.Print_Area" localSheetId="2">'ALCOSAN Southern Basin'!$A$1:$S$50</definedName>
  </definedNames>
  <calcPr calcId="125725"/>
</workbook>
</file>

<file path=xl/calcChain.xml><?xml version="1.0" encoding="utf-8"?>
<calcChain xmlns="http://schemas.openxmlformats.org/spreadsheetml/2006/main">
  <c r="D22" i="3"/>
  <c r="D25" i="2"/>
  <c r="D27" i="1"/>
  <c r="D11" i="3"/>
  <c r="B11"/>
  <c r="D10"/>
  <c r="B42"/>
  <c r="D19"/>
  <c r="N33" i="2" l="1"/>
  <c r="D33"/>
  <c r="R14" i="1"/>
  <c r="M14"/>
  <c r="F21"/>
  <c r="D21"/>
  <c r="D20" i="3"/>
  <c r="N34" i="2"/>
  <c r="N22"/>
  <c r="N21"/>
  <c r="N20"/>
  <c r="N37" i="3"/>
  <c r="D12" i="1"/>
  <c r="N12" s="1"/>
  <c r="D27" i="2"/>
  <c r="F27"/>
  <c r="N27" s="1"/>
  <c r="F19" i="1"/>
  <c r="D19"/>
  <c r="N19" s="1"/>
  <c r="N21" i="3"/>
  <c r="D32"/>
  <c r="B32"/>
  <c r="N32" s="1"/>
  <c r="D36" i="2" l="1"/>
  <c r="N36" s="1"/>
  <c r="F32"/>
  <c r="D32"/>
  <c r="F31"/>
  <c r="D31"/>
  <c r="N31" s="1"/>
  <c r="F15"/>
  <c r="D15"/>
  <c r="C15"/>
  <c r="D27" i="3"/>
  <c r="B27"/>
  <c r="D30" i="1"/>
  <c r="N30" s="1"/>
  <c r="F30"/>
  <c r="F24"/>
  <c r="D24"/>
  <c r="N24" s="1"/>
  <c r="D40" i="3"/>
  <c r="B40"/>
  <c r="N40" s="1"/>
  <c r="N22"/>
  <c r="D18"/>
  <c r="N32" i="2" l="1"/>
  <c r="B10" i="3"/>
  <c r="D24"/>
  <c r="L29" i="2"/>
  <c r="I29"/>
  <c r="F29"/>
  <c r="D29"/>
  <c r="N29" s="1"/>
  <c r="C17"/>
  <c r="C18"/>
  <c r="D17"/>
  <c r="D18"/>
  <c r="C25"/>
  <c r="D13"/>
  <c r="N16"/>
  <c r="C16"/>
  <c r="D43" i="3" l="1"/>
  <c r="N15" i="1"/>
  <c r="N10" i="2"/>
  <c r="F27" i="1"/>
  <c r="N27"/>
  <c r="C27"/>
  <c r="D16"/>
  <c r="F16"/>
  <c r="N16" s="1"/>
  <c r="I41" i="3"/>
  <c r="F41"/>
  <c r="D41"/>
  <c r="B41"/>
  <c r="B19"/>
  <c r="N35" i="2" l="1"/>
  <c r="N9" i="3"/>
  <c r="B15"/>
  <c r="N15" s="1"/>
  <c r="D15"/>
  <c r="F28"/>
  <c r="D28"/>
  <c r="B8"/>
  <c r="N8" s="1"/>
  <c r="D8"/>
  <c r="B36"/>
  <c r="N36" s="1"/>
  <c r="B23"/>
  <c r="D23"/>
  <c r="D39"/>
  <c r="C30"/>
  <c r="C33"/>
  <c r="D29"/>
  <c r="N32" i="1"/>
  <c r="N31"/>
  <c r="C25"/>
  <c r="N9"/>
  <c r="N20" l="1"/>
  <c r="N29" i="3"/>
  <c r="N13" i="1" l="1"/>
  <c r="Q43" i="3" l="1"/>
  <c r="N43"/>
  <c r="Q42"/>
  <c r="N42"/>
  <c r="Q41"/>
  <c r="N41"/>
  <c r="Q40"/>
  <c r="Q39"/>
  <c r="N39"/>
  <c r="Q38"/>
  <c r="N38"/>
  <c r="Q37"/>
  <c r="Q36"/>
  <c r="Q35"/>
  <c r="N35"/>
  <c r="Q34"/>
  <c r="N34"/>
  <c r="Q33"/>
  <c r="N33"/>
  <c r="Q32"/>
  <c r="Q31"/>
  <c r="N31"/>
  <c r="Q30"/>
  <c r="N30"/>
  <c r="Q29"/>
  <c r="R29" s="1"/>
  <c r="Q28"/>
  <c r="N28"/>
  <c r="Q27"/>
  <c r="N27"/>
  <c r="Q26"/>
  <c r="N26"/>
  <c r="Q25"/>
  <c r="N25"/>
  <c r="Q24"/>
  <c r="N24"/>
  <c r="Q23"/>
  <c r="N23"/>
  <c r="Q22"/>
  <c r="Q21"/>
  <c r="Q20"/>
  <c r="N20"/>
  <c r="Q19"/>
  <c r="N19"/>
  <c r="Q18"/>
  <c r="N18"/>
  <c r="Q17"/>
  <c r="N17"/>
  <c r="Q16"/>
  <c r="N16"/>
  <c r="Q15"/>
  <c r="Q14"/>
  <c r="N14"/>
  <c r="Q13"/>
  <c r="N13"/>
  <c r="Q12"/>
  <c r="N12"/>
  <c r="Q11"/>
  <c r="N11"/>
  <c r="Q10"/>
  <c r="N10"/>
  <c r="R10" s="1"/>
  <c r="Q9"/>
  <c r="Q8"/>
  <c r="Q37" i="2"/>
  <c r="N37"/>
  <c r="Q36"/>
  <c r="R36" s="1"/>
  <c r="Q35"/>
  <c r="R35"/>
  <c r="Q34"/>
  <c r="R34"/>
  <c r="Q33"/>
  <c r="R33"/>
  <c r="Q32"/>
  <c r="R32"/>
  <c r="Q31"/>
  <c r="R31" s="1"/>
  <c r="Q30"/>
  <c r="N30"/>
  <c r="Q29"/>
  <c r="R29"/>
  <c r="Q28"/>
  <c r="N28"/>
  <c r="Q27"/>
  <c r="Q26"/>
  <c r="N26"/>
  <c r="Q25"/>
  <c r="N25"/>
  <c r="R25" s="1"/>
  <c r="Q24"/>
  <c r="N24"/>
  <c r="Q23"/>
  <c r="N23"/>
  <c r="Q22"/>
  <c r="Q21"/>
  <c r="Q20"/>
  <c r="Q19"/>
  <c r="N19"/>
  <c r="Q18"/>
  <c r="N18"/>
  <c r="R18" s="1"/>
  <c r="Q17"/>
  <c r="N17"/>
  <c r="R17" s="1"/>
  <c r="Q16"/>
  <c r="R16"/>
  <c r="Q15"/>
  <c r="N15"/>
  <c r="R15" s="1"/>
  <c r="Q14"/>
  <c r="N14"/>
  <c r="R14" s="1"/>
  <c r="Q13"/>
  <c r="N13"/>
  <c r="Q12"/>
  <c r="N12"/>
  <c r="Q11"/>
  <c r="N11"/>
  <c r="Q10"/>
  <c r="R10" s="1"/>
  <c r="Q9"/>
  <c r="N9"/>
  <c r="Q8"/>
  <c r="N8"/>
  <c r="Q33" i="1"/>
  <c r="N33"/>
  <c r="Q32"/>
  <c r="Q31"/>
  <c r="Q30"/>
  <c r="Q29"/>
  <c r="N29"/>
  <c r="Q28"/>
  <c r="N28"/>
  <c r="Q27"/>
  <c r="R27" s="1"/>
  <c r="Q26"/>
  <c r="N26"/>
  <c r="Q25"/>
  <c r="N25"/>
  <c r="R25" s="1"/>
  <c r="Q24"/>
  <c r="Q23"/>
  <c r="N23"/>
  <c r="Q22"/>
  <c r="N22"/>
  <c r="Q21"/>
  <c r="N21"/>
  <c r="Q20"/>
  <c r="R20" s="1"/>
  <c r="Q19"/>
  <c r="R19" s="1"/>
  <c r="Q18"/>
  <c r="Q17"/>
  <c r="N17"/>
  <c r="Q16"/>
  <c r="R16" s="1"/>
  <c r="Q15"/>
  <c r="R15" s="1"/>
  <c r="Q14"/>
  <c r="N14"/>
  <c r="Q13"/>
  <c r="R13" s="1"/>
  <c r="Q12"/>
  <c r="R12" s="1"/>
  <c r="Q11"/>
  <c r="N11"/>
  <c r="Q10"/>
  <c r="N10"/>
  <c r="Q9"/>
  <c r="Q8"/>
  <c r="N8"/>
  <c r="R13" i="2" l="1"/>
  <c r="R19"/>
  <c r="R20"/>
  <c r="R21"/>
  <c r="R22"/>
  <c r="R23"/>
  <c r="R24"/>
  <c r="R26"/>
  <c r="R27"/>
  <c r="R28"/>
  <c r="R30"/>
  <c r="R37"/>
  <c r="R9"/>
  <c r="R11"/>
  <c r="R12"/>
  <c r="R8"/>
  <c r="R21" i="1"/>
  <c r="R22"/>
  <c r="R23"/>
  <c r="D18"/>
  <c r="N18" s="1"/>
  <c r="R18" s="1"/>
  <c r="R9"/>
  <c r="R10"/>
  <c r="R11"/>
  <c r="R17"/>
  <c r="R26"/>
  <c r="R28"/>
  <c r="R29"/>
  <c r="R30"/>
  <c r="R31"/>
  <c r="R32"/>
  <c r="R33"/>
  <c r="R8"/>
  <c r="R16" i="3"/>
  <c r="R17"/>
  <c r="R18"/>
  <c r="R19"/>
  <c r="R20"/>
  <c r="R21"/>
  <c r="R22"/>
  <c r="R23"/>
  <c r="R24"/>
  <c r="R25"/>
  <c r="R26"/>
  <c r="R27"/>
  <c r="R28"/>
  <c r="R30"/>
  <c r="R31"/>
  <c r="R32"/>
  <c r="R33"/>
  <c r="R34"/>
  <c r="R35"/>
  <c r="R36"/>
  <c r="R37"/>
  <c r="R38"/>
  <c r="R39"/>
  <c r="R40"/>
  <c r="R41"/>
  <c r="R42"/>
  <c r="R43"/>
  <c r="R8"/>
  <c r="R9"/>
  <c r="R11"/>
  <c r="R12"/>
  <c r="R13"/>
  <c r="R14"/>
  <c r="R15"/>
</calcChain>
</file>

<file path=xl/sharedStrings.xml><?xml version="1.0" encoding="utf-8"?>
<sst xmlns="http://schemas.openxmlformats.org/spreadsheetml/2006/main" count="349" uniqueCount="222">
  <si>
    <t>Eastern Basin</t>
  </si>
  <si>
    <t>NOTE: All rates are given in $/1000 gallons</t>
  </si>
  <si>
    <t>"from"  and "to" columns indicate lower and upper gallon ranges applicable to Tier Rate</t>
  </si>
  <si>
    <t>NOTES</t>
  </si>
  <si>
    <t>Municipality</t>
  </si>
  <si>
    <t xml:space="preserve">    Service Charge</t>
  </si>
  <si>
    <t xml:space="preserve">             Base</t>
  </si>
  <si>
    <t>Tier 1*</t>
  </si>
  <si>
    <t>Tier 2*</t>
  </si>
  <si>
    <t xml:space="preserve">      Tier 3*</t>
  </si>
  <si>
    <t>Local Charge</t>
  </si>
  <si>
    <t>ALCOSAN</t>
  </si>
  <si>
    <t>ALCOSAN Charge</t>
  </si>
  <si>
    <t>TOTAL</t>
  </si>
  <si>
    <t>Authority</t>
  </si>
  <si>
    <t>Monthly</t>
  </si>
  <si>
    <t>Quarterly</t>
  </si>
  <si>
    <t>Rate</t>
  </si>
  <si>
    <t>Gallons</t>
  </si>
  <si>
    <t>from</t>
  </si>
  <si>
    <t>to</t>
  </si>
  <si>
    <t>over</t>
  </si>
  <si>
    <t>15,000 gallons</t>
  </si>
  <si>
    <t>Service Fee</t>
  </si>
  <si>
    <t>15,000 Gallons</t>
  </si>
  <si>
    <t>CUSTOMER</t>
  </si>
  <si>
    <t>Churchill</t>
  </si>
  <si>
    <t>East McKeesport</t>
  </si>
  <si>
    <t xml:space="preserve"> </t>
  </si>
  <si>
    <t>Flat Rate</t>
  </si>
  <si>
    <t>Residential</t>
  </si>
  <si>
    <t>North Versailles</t>
  </si>
  <si>
    <t>Penn Township</t>
  </si>
  <si>
    <t>Pittsburgh</t>
  </si>
  <si>
    <t>Plum</t>
  </si>
  <si>
    <t>Trafford</t>
  </si>
  <si>
    <t>Verona**</t>
  </si>
  <si>
    <t>NOTES:</t>
  </si>
  <si>
    <t>* Tiered rates are given for 1000 gallons</t>
  </si>
  <si>
    <t>*** For Plum Borough, rates are based on cubic feet…..these values converted to gallons for this comparison.</t>
  </si>
  <si>
    <t>Residential Rate Comparison</t>
  </si>
  <si>
    <t>Northern Basin</t>
  </si>
  <si>
    <t xml:space="preserve">       Base</t>
  </si>
  <si>
    <t>Charge/quarter</t>
  </si>
  <si>
    <t>Bellevue</t>
  </si>
  <si>
    <t>Ben Avon**</t>
  </si>
  <si>
    <t>Ben Avon Heights**</t>
  </si>
  <si>
    <t>A $63.00 quarterly service charge is imposed to this district by on top of McCandless rates as part of merger agreement.  Will be in place until associated Franklin Park bonds are paid off in 2016.</t>
  </si>
  <si>
    <t>A $27.00 quarterly service charge is imposed to this district by on top of McCandless rates as part of merger agreement.  Will be in place until associated Franklin Park bonds are paid off in 2016.</t>
  </si>
  <si>
    <t>Shaler</t>
  </si>
  <si>
    <t>Sharpsburg</t>
  </si>
  <si>
    <t>* Rates are for 1000 gallons</t>
  </si>
  <si>
    <t>Southern Basin</t>
  </si>
  <si>
    <t>South Fayette</t>
  </si>
  <si>
    <t>Direct Bill by ALCOSAN…confirmed with Josephine @ ALCOSAN and by Thornburg office</t>
  </si>
  <si>
    <t>Whitaker</t>
  </si>
  <si>
    <t>Chalfont**</t>
  </si>
  <si>
    <t>Pitcairn**</t>
  </si>
  <si>
    <t>Mt. Lebanon**</t>
  </si>
  <si>
    <t>Castle Shannon**</t>
  </si>
  <si>
    <t>Braddock**</t>
  </si>
  <si>
    <t>Thornburg**</t>
  </si>
  <si>
    <t>North Fayette**</t>
  </si>
  <si>
    <t>Girty's Run **</t>
  </si>
  <si>
    <t>Millvale - Girty's Run **</t>
  </si>
  <si>
    <t>West View **</t>
  </si>
  <si>
    <t>Aspinwall **</t>
  </si>
  <si>
    <t>Direct Bill by ALCOSAN; No local mark-up</t>
  </si>
  <si>
    <t>Reserve **</t>
  </si>
  <si>
    <t>Reserve - Girtys Run Cust. **</t>
  </si>
  <si>
    <t>Emsworth **</t>
  </si>
  <si>
    <t>Blawnox **</t>
  </si>
  <si>
    <t>Indiana - Ottawa **</t>
  </si>
  <si>
    <t>Indiana - Middle Rd. Ext. **</t>
  </si>
  <si>
    <t>Indiana - Middle Rd. I &amp; II **</t>
  </si>
  <si>
    <t>Avalon **</t>
  </si>
  <si>
    <t>Kilbuck **</t>
  </si>
  <si>
    <t>NET LOCAL CHARGES BELOW ARE BASED ON 15,000 GALLONS/QUARTER AFTER ALCOSAN FEES REMOVED</t>
  </si>
  <si>
    <t>ALCOSAN rates in 2012 include a $9.07 quarterly service charge plus $4.32 per thousand gallons of water consumption</t>
  </si>
  <si>
    <t>Edgewood</t>
  </si>
  <si>
    <t>Turtle Creek**</t>
  </si>
  <si>
    <t>Verona customers are ALCOSAN direct billed. No sewer surcharge by Verona.  All internal sewer system O&amp;M costs come out of taxes.</t>
  </si>
  <si>
    <t>Effective January 1, 2012 rates changes as follows:  PWSA adds a $2.82/thous charge to residential customers for sewer system maint charge plus an additional 7% (DSIC) for a total of $3.02/thous gallons…all other ALCOSAN charges are also passed on to customer.  Non residential rates for this sewer system charge vary from $2.61 to $2.94/thous gallons (+ 7% DSIC)</t>
  </si>
  <si>
    <t>Peters</t>
  </si>
  <si>
    <t>Oakdale</t>
  </si>
  <si>
    <t>Multiplier set at 2.19 times ALCOSAN rates….no change in multiplier in 2012</t>
  </si>
  <si>
    <t>Upper St. Clair</t>
  </si>
  <si>
    <t>Per Gloria Stroop in 7-2-12 phone conversation, McDonald Authority raised monthly service fee to $19.70 and per thousand gallon charge to $6.71 in Jan. 2012.  Above rates include all ALCOSAN charges.</t>
  </si>
  <si>
    <t>Brentwood</t>
  </si>
  <si>
    <t>Baldwin Borough</t>
  </si>
  <si>
    <t>Baldwin Township</t>
  </si>
  <si>
    <t xml:space="preserve">Rates effective 1-1-2009; confirmed with Bob Grimm via phone that there was no change in 2012; total rate including ALCOSAN fees is $16.50/month flat fee and includes use up to 3,000 gallons, then $5.50/thous.  Same rates for all classes of customers and for non-alcosan portion of their system.  Majority of N.F.s customers are tributary to Montour Run Treatment Plant.  </t>
  </si>
  <si>
    <t>Shaler - Girty's Run Area</t>
  </si>
  <si>
    <t>Rates increased in 2012 per WMSSMA web site;  Non residential customers have a $25.00 per month service fee (including ALCOSAN service fee)</t>
  </si>
  <si>
    <t xml:space="preserve">Rate adjustment in 2012 to $2.50/thous gallons over ALCOSAN charges plus a $2 administrative fee per bill over ALCOSAN fee as per email from Doug Sample dated 7-13-12. </t>
  </si>
  <si>
    <t>North Huntingdon **</t>
  </si>
  <si>
    <t>From 7-18-11 phone conversation with Kate Petrosky. Rates increase effective May 1, 2011…NHTMA has a flat rate of $43.30 per month for residential customers (up from $42.50 in 2010) including all ALCOSAN charges; commercial customers are metered and pay $43.30 per month per EDU.   1 EDU = 4,200 gallons per month.  Confirmed no change in 2012 per 7-12-12 email from Kate</t>
  </si>
  <si>
    <t>Rates increased in 2011 per email from Gary Koehler dated 5-31-11 and verified on Fox Chapel website.  Prior to 2011, Fox Chapel subsidized a portion of wastewater O&amp;M costs with tax revenue.  No change in 2012 per 7-16-12 email from Joy Hardt</t>
  </si>
  <si>
    <t>Fox Chapel **</t>
  </si>
  <si>
    <t xml:space="preserve">McCandless - Residential </t>
  </si>
  <si>
    <t>Franklin Park - Lowries Run</t>
  </si>
  <si>
    <t>Franklin Park - Bear Run</t>
  </si>
  <si>
    <t>Bethel Park</t>
  </si>
  <si>
    <t>Swissvale **</t>
  </si>
  <si>
    <t>Kennedy</t>
  </si>
  <si>
    <t>Scott **</t>
  </si>
  <si>
    <t>Plum bills based on cubic feet rather than gallons.  Per 7-13-12 email from H. Theis, Plum began billing monthly in 2012. They now have a $27.35/month minimum bill for 1,870 gallons which includes all ALCOSAN charges (On a quarterly basis, this is $82.05 for 5,610 gallons)  plus $3.54 per thousand gallons for higher use. Commercial sewage charges are partially based on water meter size. Rates effective February 2012.</t>
  </si>
  <si>
    <t>Wall</t>
  </si>
  <si>
    <t xml:space="preserve">Munhall </t>
  </si>
  <si>
    <t>No increase on Girty's Run local effective rates in 2012, but total customer rates increased due to ALCOSAN increase.   They bulk bill the muncipalities tributary to them, so each muncipality's rate to the customer can vary.   Verified in conversation with GRJSA office personnel on 7-19-12.</t>
  </si>
  <si>
    <t>All Millvale residents are customers of GRJSA and are directly billed by PWSA</t>
  </si>
  <si>
    <t>From Bob Kip 7-19-12 phone conversation.  Girtys Run customers pay $2.50/thousand gallons more than other Reserve customers plus an additional $1.00/quarter service charge. Also, Reserve has a 9.00/quarter capital improvement fund fee.  No effective local rate change in 2012</t>
  </si>
  <si>
    <t>Per Bob Kipp 7-19-12 phone conversation, for 2012 ALCOSAN rate increase passed on but local share remained unchanged.  $5.49/thous with a 4,000gal/qtr including ALCOSAN rate, plus ALCOSAN service fee along with a $9.00/qtr capital improvement fund charge.</t>
  </si>
  <si>
    <t>Rosslyn Farms **</t>
  </si>
  <si>
    <t>$6.00/thous gallon surcharge over ALCOSAN rates unchanged in 2012 per HMA management  7-19-12 phone call</t>
  </si>
  <si>
    <t>Pleasant Hills</t>
  </si>
  <si>
    <t>Per Julie Quigley of Jordan Tax Service on 7-20-12, 2012 Carnegie rate is $7.18/thous plus $1.93 service charge /month plus ALCOSAN charges</t>
  </si>
  <si>
    <t>Carnegie</t>
  </si>
  <si>
    <t xml:space="preserve">Ross </t>
  </si>
  <si>
    <t xml:space="preserve">Neville </t>
  </si>
  <si>
    <t>Dormont **</t>
  </si>
  <si>
    <t xml:space="preserve">No Change in 2012 (except ALCOSAN portion of bill) confirmed with Candy at Indiana Township on 7-24-12. This district has a $77.00 debt service fee/qtr plus $0.75/thous plus ALCOSAN fees ($ 9.07/Qtr + $4.32/thous)  </t>
  </si>
  <si>
    <r>
      <t xml:space="preserve">No Change in 2012 (except ALCOSAN portion of bill) confirmed with Candy at Indiana Township on 7-24-12. Debt service fee reduction from to $50/qtr. effective July 2011. Other charges include $0.15/thous plus ALCOSAN fees ($ 9.07/Qtr + $4.32/thous) </t>
    </r>
    <r>
      <rPr>
        <sz val="10"/>
        <color indexed="10"/>
        <rFont val="Arial"/>
        <family val="2"/>
      </rPr>
      <t>(The 0.15 rate for this district is not a typo.)</t>
    </r>
  </si>
  <si>
    <t>No Change in 2012 (except ALCOSAN portion of bill) confirmed with Candy at Indiana Township on 7-24-12.  This district has a $165.00 debt service fee/qtr plus $0.75/thous plus ALCOSAN fees ($ 9.07/Qtr + $4.32/thous)</t>
  </si>
  <si>
    <r>
      <t xml:space="preserve">No Change in 2012 (except ALCOSAN portion of bill) confirmed with Candy at Indiana Township on 7-24-12. </t>
    </r>
    <r>
      <rPr>
        <sz val="10"/>
        <color indexed="10"/>
        <rFont val="Arial"/>
        <family val="2"/>
      </rPr>
      <t xml:space="preserve">This district has a no debt service fee. </t>
    </r>
    <r>
      <rPr>
        <sz val="10"/>
        <rFont val="Arial"/>
        <family val="2"/>
      </rPr>
      <t xml:space="preserve"> Billing rate is $0.75/thous plus ALCOSAN fees ($ 9.07/Qtr + $4.32/thous)</t>
    </r>
  </si>
  <si>
    <t>Indiana - Fairview **</t>
  </si>
  <si>
    <t xml:space="preserve">From NVTSA (412-823-0629) in 7-20-12 phone conversation and via 7-24-12 email with rate table attached; NVTSA had a rate increase in 2012.  The have a minimum quarterly charge of $63.00 to their residential customers (for up to 6,000 gallons usage) including ALCOSAN charges.  Cost for use greater than 6,000 gallons is $10.50/thousand. Rates for commercial accounts slightly greater.    </t>
  </si>
  <si>
    <t>From 7-25-12 email from Ian McMeans.   Sewer rates for single family home = $7.54/thous;Multi-family home= $8.39/thous;Others= $9.64/thous. , all including ALCOSAN $4.32/thous charge.   Monthly $2.37 service fee surcharge above ALCOSAN service fee presumed to be correct.</t>
  </si>
  <si>
    <t>Homestead</t>
  </si>
  <si>
    <t>From 7-26-12 email from Kathy Lee Connolly;  No change in local effective rate in 2012.  Still $7.85/thousand plus all ALCOSAN charges</t>
  </si>
  <si>
    <t>Mt. Oliver **</t>
  </si>
  <si>
    <t xml:space="preserve">No rate change in effective local rate in 2012 per Lorraine Makatura  email dated 7-26-12.  </t>
  </si>
  <si>
    <t>No rate change in effective local rate in 2012 per Lorraine Makatura  email dated 7-26-12.   Same rates as Emsworth except for approximately 16 homes on Plummer and Newman Drive, that pay an additional $48.79/month debt service charge.</t>
  </si>
  <si>
    <t>No change for for 2013. email from Howard Theis 4/15/13</t>
  </si>
  <si>
    <t>No change from 2012. Email from Moe Rayan 4/15/13</t>
  </si>
  <si>
    <t>No change from 2013. Email from Malisa Migliori 4/45/13</t>
  </si>
  <si>
    <t>No change from 2012. Email from Marla Marcinko 4/15/13</t>
  </si>
  <si>
    <t>No change from 2012. Email from John Capor 4/15/13</t>
  </si>
  <si>
    <t>No change from 2012. Email from Rebecca Bradley 4/15/13</t>
  </si>
  <si>
    <t>No change from 2012. Email from Craig Robinson 4/15/13</t>
  </si>
  <si>
    <t>Info from email from Warren Cecconi; Net local rate per thousand gallons $4.70 plus 3% of total bill.  $1.50 quarterly service fee is WPJWA billing charge</t>
  </si>
  <si>
    <t>Billed by WPWJWA.  Per email from Eileen Navish 4/15/13., East Pittsburgh local ratesiare 50% of ALCOSAN charges. Net local service charge = 50% of ALCOSAN service charge plus $1.50 WPJWA billing charge.</t>
  </si>
  <si>
    <t xml:space="preserve">Per 4//15/13 email from Julie Donolo,  Wall charges a $82.77 for the first 10,000 gallons of use that includes all ALCOSAN charges and also includes a $15.00 local consent order charge.  For water consumption above 10,000 gallons per quarter, the additional charge is $1.50/thousand consent order charge plus $5.75/thousand including ALCOSAN's $4.32/thous charge. </t>
  </si>
  <si>
    <t>Per4/16/13 email from "administrator". Total charge including ALCOSAN fees is $8.00/thousand gallons with a minimum of $54.00/qtr. for the first 6,800 gallons</t>
  </si>
  <si>
    <t>No change from 2012. Email from Julie Pantalone 4/16/13</t>
  </si>
  <si>
    <t>No change from 2012. Email from Amanda Ford 4/16/13</t>
  </si>
  <si>
    <t>No change from 2012. Email from Borough Secretary 4/16/13</t>
  </si>
  <si>
    <t>Info from WPJWA 2013 book;  Local surcharge is 30% of ALCOSAN charges. The same as 2012</t>
  </si>
  <si>
    <t>Info from WPJWA 2013 book; No change in net local rate in 2013. $1.50 quarterly service fee is WPJWA billing charge</t>
  </si>
  <si>
    <t>Info from WPJWA 2013 book; Net local rate per thousand gallons remains at $7.00 in 2013.  $1.50 quarterly service fee is WPJWA billing charge</t>
  </si>
  <si>
    <t>Info from WPJWA 2013 book; Net local rate per thousand gallons remains at $3.00 in 2013.  $1.50 quarterly service fee is WPJWA billing charge</t>
  </si>
  <si>
    <t>Wilkins**</t>
  </si>
  <si>
    <t>Wilkinsburg**</t>
  </si>
  <si>
    <t>Wilmerding**</t>
  </si>
  <si>
    <t>Rankin**</t>
  </si>
  <si>
    <t xml:space="preserve">From PTSA web site.  Rate changes occurred effective 1-1-13. Total rate including ALCOSAN fees are $81.81/quarter minimum for a residential customer (includes up to 3,000 of consumption) + $5.87/thous above 3,000.  Email from Stan Caroline 4/15/13 </t>
  </si>
  <si>
    <t>Penn Hills**</t>
  </si>
  <si>
    <t>North Braddock**</t>
  </si>
  <si>
    <t>Forest Hills**</t>
  </si>
  <si>
    <t>Monroeville**</t>
  </si>
  <si>
    <t>East Pittsburgh**</t>
  </si>
  <si>
    <t>Braddock Hills**</t>
  </si>
  <si>
    <t>No change from 2012. Email from Mary Ellen Ramage 4/15/13</t>
  </si>
  <si>
    <t>Etna **</t>
  </si>
  <si>
    <t>No change from 2012. Email from Julie Jakubec 4/15/13.</t>
  </si>
  <si>
    <t>O'Hara**</t>
  </si>
  <si>
    <t>No change from 2012. Email 4/15/13</t>
  </si>
  <si>
    <t xml:space="preserve"> Per 4/15/13 email from Jan Barbus, Sharpsburg has a $27.00 minimum rate per quarter based on up to 4,000 gallons usage.  Residential rate is $1.33/thous over ALCOSAN rate. Commercial rate is 1.93/ thousand over Alcosan rate.  A new fee added in 2011 is a $1.00/thousand gallon charge for all customers for sewer line repairs which is still in effect for 2013</t>
  </si>
  <si>
    <t>Per Doug Sample email on 4/16/13, 2013 Ross rate is $12.00/thous for this first 4,000 gallons/qtr plus a $4.50 service charge, then $3.00/thous plus ALCOSAN charges</t>
  </si>
  <si>
    <t>Per Jerry Brown in 4/15/13 email S. Fayette Authority kept monthly service fee at $12.00 but raised per thousand gallon charge to $6.75 in Jan. 2013.   Above rates include all ALCOSAN charges.</t>
  </si>
  <si>
    <t>No change from 2012. Email from Ray Fonos 4/16/13</t>
  </si>
  <si>
    <t>West Homestead**</t>
  </si>
  <si>
    <t>No change from 2012. Email from Dave Montz 4/15/13</t>
  </si>
  <si>
    <t>Green Tree**</t>
  </si>
  <si>
    <t>No change from 2012. Email from D Stecko 4/15/13</t>
  </si>
  <si>
    <t>Ingram**</t>
  </si>
  <si>
    <t>Stowe**</t>
  </si>
  <si>
    <t>No change from 2012 Per Marie Incovati email 4/15/13</t>
  </si>
  <si>
    <t>No change from 2012. Email from Tom Hartswick 4/15/13</t>
  </si>
  <si>
    <t>West Mifflin**</t>
  </si>
  <si>
    <t>No change from 2012 Per 4/15/13 email from Denise Fitzgerald</t>
  </si>
  <si>
    <t>No change from 2012. Email from Joe Kauer 4/15/13</t>
  </si>
  <si>
    <t>Heidelberg**</t>
  </si>
  <si>
    <t>Per 4/15/13 email from Jean Warren, 2013 rates are $1.00/thous plus $8.87 monthly service fee plus all ALCOSAN charges</t>
  </si>
  <si>
    <t>McDonald**</t>
  </si>
  <si>
    <t>No change from 2012. Email from Gloria Stroop 4/15/13</t>
  </si>
  <si>
    <t>Per Jim Miskis email 4/15/13. 2013 rates $31.00 service charge; $5.60/mgal - includes ALCOSAN fees</t>
  </si>
  <si>
    <t>Per 4/15/13 email from Joe Villela total charge is $6.34/thous plus $10 monthly service charge including all ALCOSAN charges</t>
  </si>
  <si>
    <t>Collier**</t>
  </si>
  <si>
    <t>No change from 2012. Email from Lori Thompson 4/15/13</t>
  </si>
  <si>
    <t xml:space="preserve">Rate information from Kelly Rohbek on 4/15/13;  Oakdale 2013 rates including all ALCOSAN charges consist of a $15.25 monthly fee for the first 1,000 gallons, then $7.3 per thousand. </t>
  </si>
  <si>
    <t>Per email from Jeff Naftal 4/15/13 No change from 2012 rates</t>
  </si>
  <si>
    <t>No change from 2012. Email from John Barrett 4/15/13</t>
  </si>
  <si>
    <t>Rates from MATR web site as of 4/15/13.  $6.88 per thousand gallons includes ALCOSAN charge.  Service Charge calculation herein is for 5/8" meter only ($22.56/quarter includes ALCOSAN service charge)…..the service charge continues to increase with larger meters; No change in rates in 2013; relatively small portion of MATR service area is tributary to ALCOSAN</t>
  </si>
  <si>
    <t>Robinson**</t>
  </si>
  <si>
    <t>From Draft Ord No. 1211 (Dec. 2012)  Monthly service charge of $5.65 plus $9.50 per thous gallons including all ALCOSAN charges</t>
  </si>
  <si>
    <t>Whitehall**</t>
  </si>
  <si>
    <t>Per 4/15/13 email from Jim Leventry. No chnange from 2012</t>
  </si>
  <si>
    <t>McKees Rocks**</t>
  </si>
  <si>
    <t>No change from 2012. Email from Tricia Levander 4/17/13</t>
  </si>
  <si>
    <t>Bridgeville**</t>
  </si>
  <si>
    <t>No change from 2012. Email from Lori Collins 4/15/13</t>
  </si>
  <si>
    <t>Email from Bob Callen, 4/23/13. Change in local net rate for 2013, $2.00/month service charge plus $7.00/thous gallons exclusive of ALCOSAN charges; ALCOSAN increase passed on to customer</t>
  </si>
  <si>
    <t>Crafton</t>
  </si>
  <si>
    <t>ALCOSAN rates in 2013 include a $9.07 quarterly service charge plus $4.32 per thousand gallons of water consumption</t>
  </si>
  <si>
    <t>Rate schedule provided in 4/23/13 email from LuAnn Barna</t>
  </si>
  <si>
    <t xml:space="preserve">Ohio** </t>
  </si>
  <si>
    <r>
      <t xml:space="preserve">** No change in </t>
    </r>
    <r>
      <rPr>
        <b/>
        <sz val="10"/>
        <rFont val="Arial"/>
        <family val="2"/>
      </rPr>
      <t xml:space="preserve">effective </t>
    </r>
    <r>
      <rPr>
        <sz val="10"/>
        <rFont val="Arial"/>
        <family val="2"/>
      </rPr>
      <t xml:space="preserve">local rates </t>
    </r>
    <r>
      <rPr>
        <sz val="11"/>
        <color theme="1"/>
        <rFont val="Calibri"/>
        <family val="2"/>
        <scheme val="minor"/>
      </rPr>
      <t>from 2012 suvey</t>
    </r>
  </si>
  <si>
    <t>Email from Jeff McLaughlin 4/24/13.  Local charge of $68.34 for the first 6 thousand gallons use, plus $9.79/thous for use greater than 6,000, plus a $9.60 service charge, all including ALCOSAN fees</t>
  </si>
  <si>
    <t>Ordinance 973 of 5-12-10.   Rates still $4.35/thous and $2/quarterly service fee plus all ALCOSAN charges per 4/26/13 email</t>
  </si>
  <si>
    <t>No rate change in effective local rate per 5/8/2013 email from Maria McCool.  Rate is still $1.50/thousand plus all ALCOSAN charges</t>
  </si>
  <si>
    <t>No change in 2012 effective local rate of $1.73/thous plus ALCOSAN fees per 5/8/2013 phone call from Georgine to Jodi</t>
  </si>
  <si>
    <r>
      <t xml:space="preserve">Resolution 516 effective 1-1-10 has not changed for 2012.  Residential rate is 5.80/thous plus $19.50 quarterly service fee including all ALCOSAN charges </t>
    </r>
    <r>
      <rPr>
        <sz val="10"/>
        <color indexed="10"/>
        <rFont val="Arial"/>
        <family val="2"/>
      </rPr>
      <t xml:space="preserve">  MTSA's commercial rate is $1.28/thous more than their residential rate. Per email John Flaherty</t>
    </r>
  </si>
  <si>
    <t xml:space="preserve">Per 5/8/2013 email from Sherry Kordas, total charge to their customers is $7.19/Thousand plus the $9.07 ALCOSAN service fee.  </t>
  </si>
  <si>
    <t>Via email on 5/15/13, Baldwin Twp's 2013 rate remain unchanged.</t>
  </si>
  <si>
    <t>Per phone email from Marla Stevens.  No change from 2012</t>
  </si>
  <si>
    <t>Per email from MSSA. No change from 2012</t>
  </si>
  <si>
    <t>Per email from Judith Kording, rates have not changed from 2012 level.</t>
  </si>
  <si>
    <t>Email 5/21/13, has not change from 2012.  Total charge per thous galls including all ALCOSAN charges is $6.50; also confirmed in email from Gerald Orsini dated 7-11-12</t>
  </si>
  <si>
    <t>Ordinance 806 enacted 1-14-10; In phone conversation with Neville office staff on 7-20-12, that ordinance is still in effect for 2013. Rates are $20.50 for up to 3,000 gallons/qtr and $12.10/thous for greater use, including all ALCOSAN charges</t>
  </si>
  <si>
    <t>As per email from Steve Morus 4/15/13</t>
  </si>
  <si>
    <r>
      <t xml:space="preserve">** No change in </t>
    </r>
    <r>
      <rPr>
        <b/>
        <sz val="11"/>
        <color theme="1"/>
        <rFont val="Calibri"/>
        <family val="2"/>
        <scheme val="minor"/>
      </rPr>
      <t>effective</t>
    </r>
    <r>
      <rPr>
        <sz val="11"/>
        <color theme="1"/>
        <rFont val="Calibri"/>
        <family val="2"/>
        <scheme val="minor"/>
      </rPr>
      <t xml:space="preserve"> local rates from 2012 survey</t>
    </r>
  </si>
</sst>
</file>

<file path=xl/styles.xml><?xml version="1.0" encoding="utf-8"?>
<styleSheet xmlns="http://schemas.openxmlformats.org/spreadsheetml/2006/main">
  <numFmts count="3">
    <numFmt numFmtId="164" formatCode="&quot;$&quot;#,##0.00"/>
    <numFmt numFmtId="165" formatCode="&quot;$&quot;#,##0.000"/>
    <numFmt numFmtId="166" formatCode="0.0%"/>
  </numFmts>
  <fonts count="13">
    <font>
      <sz val="11"/>
      <color theme="1"/>
      <name val="Calibri"/>
      <family val="2"/>
      <scheme val="minor"/>
    </font>
    <font>
      <b/>
      <sz val="10"/>
      <name val="Arial"/>
      <family val="2"/>
    </font>
    <font>
      <sz val="10"/>
      <name val="Arial"/>
      <family val="2"/>
    </font>
    <font>
      <sz val="10"/>
      <color indexed="10"/>
      <name val="Arial"/>
      <family val="2"/>
    </font>
    <font>
      <sz val="10"/>
      <color theme="1"/>
      <name val="Arial"/>
      <family val="2"/>
    </font>
    <font>
      <sz val="11"/>
      <color rgb="FFFF0000"/>
      <name val="Calibri"/>
      <family val="2"/>
      <scheme val="minor"/>
    </font>
    <font>
      <sz val="11"/>
      <color rgb="FF00B050"/>
      <name val="Calibri"/>
      <family val="2"/>
      <scheme val="minor"/>
    </font>
    <font>
      <sz val="11"/>
      <name val="Calibri"/>
      <family val="2"/>
      <scheme val="minor"/>
    </font>
    <font>
      <b/>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174">
    <xf numFmtId="0" fontId="0" fillId="0" borderId="0" xfId="0"/>
    <xf numFmtId="0" fontId="1" fillId="0" borderId="0" xfId="0" applyFont="1"/>
    <xf numFmtId="0" fontId="2" fillId="0" borderId="1" xfId="0" applyFont="1" applyFill="1" applyBorder="1" applyAlignment="1">
      <alignment horizontal="center"/>
    </xf>
    <xf numFmtId="0" fontId="0" fillId="0" borderId="18" xfId="0" applyFill="1" applyBorder="1"/>
    <xf numFmtId="164" fontId="2" fillId="0" borderId="18" xfId="0" applyNumberFormat="1" applyFont="1" applyFill="1" applyBorder="1" applyAlignment="1">
      <alignment horizontal="center"/>
    </xf>
    <xf numFmtId="164" fontId="2" fillId="0" borderId="14" xfId="0" applyNumberFormat="1" applyFont="1" applyFill="1" applyBorder="1" applyAlignment="1">
      <alignment horizontal="center"/>
    </xf>
    <xf numFmtId="0" fontId="0" fillId="0" borderId="28" xfId="0" applyFill="1" applyBorder="1"/>
    <xf numFmtId="164" fontId="2" fillId="0" borderId="22" xfId="0" applyNumberFormat="1" applyFont="1" applyFill="1" applyBorder="1" applyAlignment="1">
      <alignment horizontal="center"/>
    </xf>
    <xf numFmtId="0" fontId="2" fillId="0" borderId="18" xfId="0" applyFont="1" applyFill="1" applyBorder="1"/>
    <xf numFmtId="0" fontId="2" fillId="0" borderId="0" xfId="0" applyFont="1" applyFill="1" applyBorder="1"/>
    <xf numFmtId="1" fontId="2" fillId="0" borderId="14" xfId="0" applyNumberFormat="1" applyFont="1" applyFill="1" applyBorder="1" applyAlignment="1">
      <alignment horizontal="center"/>
    </xf>
    <xf numFmtId="1" fontId="2" fillId="0" borderId="24" xfId="0" applyNumberFormat="1" applyFont="1" applyFill="1" applyBorder="1" applyAlignment="1">
      <alignment horizontal="center"/>
    </xf>
    <xf numFmtId="1" fontId="2" fillId="0" borderId="23" xfId="0" applyNumberFormat="1" applyFont="1" applyFill="1" applyBorder="1" applyAlignment="1">
      <alignment horizontal="center"/>
    </xf>
    <xf numFmtId="4" fontId="2" fillId="0" borderId="22" xfId="0" applyNumberFormat="1" applyFont="1" applyFill="1" applyBorder="1" applyAlignment="1">
      <alignment horizontal="center"/>
    </xf>
    <xf numFmtId="0" fontId="2" fillId="0" borderId="22" xfId="0" applyFont="1" applyFill="1" applyBorder="1" applyAlignment="1">
      <alignment horizontal="center"/>
    </xf>
    <xf numFmtId="0" fontId="2" fillId="0" borderId="24" xfId="0" applyFont="1" applyFill="1" applyBorder="1" applyAlignment="1">
      <alignment horizontal="center"/>
    </xf>
    <xf numFmtId="0" fontId="2" fillId="0" borderId="14" xfId="0" applyFont="1" applyFill="1" applyBorder="1" applyAlignment="1">
      <alignment horizontal="center"/>
    </xf>
    <xf numFmtId="164" fontId="2" fillId="0" borderId="31" xfId="0" applyNumberFormat="1" applyFont="1" applyFill="1" applyBorder="1" applyAlignment="1">
      <alignment horizontal="center"/>
    </xf>
    <xf numFmtId="0" fontId="0" fillId="0" borderId="0" xfId="0" applyFill="1"/>
    <xf numFmtId="164" fontId="2" fillId="0" borderId="28" xfId="0" applyNumberFormat="1" applyFont="1" applyFill="1" applyBorder="1" applyAlignment="1">
      <alignment horizontal="center"/>
    </xf>
    <xf numFmtId="0" fontId="4" fillId="0" borderId="0" xfId="0" applyFont="1" applyFill="1" applyAlignment="1">
      <alignment horizontal="left" wrapText="1"/>
    </xf>
    <xf numFmtId="164" fontId="2" fillId="0" borderId="23"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30" xfId="0" applyNumberFormat="1" applyFont="1" applyFill="1" applyBorder="1" applyAlignment="1">
      <alignment horizontal="center"/>
    </xf>
    <xf numFmtId="1" fontId="2" fillId="0" borderId="18" xfId="0" applyNumberFormat="1" applyFont="1" applyFill="1" applyBorder="1" applyAlignment="1">
      <alignment horizontal="center"/>
    </xf>
    <xf numFmtId="0" fontId="0" fillId="0" borderId="0" xfId="0" applyFill="1" applyAlignment="1">
      <alignment horizontal="left" wrapText="1"/>
    </xf>
    <xf numFmtId="49" fontId="0" fillId="0" borderId="0" xfId="0" applyNumberFormat="1" applyAlignment="1">
      <alignment vertical="top" wrapText="1"/>
    </xf>
    <xf numFmtId="0" fontId="2" fillId="0" borderId="0" xfId="0" applyFont="1" applyFill="1" applyAlignment="1">
      <alignment horizontal="left" vertical="top" wrapText="1"/>
    </xf>
    <xf numFmtId="0" fontId="0" fillId="0" borderId="0" xfId="0" applyFill="1" applyAlignment="1">
      <alignment horizontal="center" wrapText="1"/>
    </xf>
    <xf numFmtId="0" fontId="5" fillId="0" borderId="0" xfId="0" applyFont="1"/>
    <xf numFmtId="0" fontId="6" fillId="0" borderId="0" xfId="0" applyFont="1"/>
    <xf numFmtId="0" fontId="6" fillId="0" borderId="0" xfId="0" applyFont="1" applyFill="1"/>
    <xf numFmtId="0" fontId="0" fillId="0" borderId="15" xfId="0" applyFill="1" applyBorder="1"/>
    <xf numFmtId="164" fontId="2" fillId="0" borderId="16"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4" xfId="0" applyNumberFormat="1" applyFont="1" applyFill="1" applyBorder="1" applyAlignment="1">
      <alignment horizontal="center"/>
    </xf>
    <xf numFmtId="164" fontId="2" fillId="0" borderId="19" xfId="0" applyNumberFormat="1" applyFont="1" applyFill="1" applyBorder="1" applyAlignment="1">
      <alignment horizontal="center"/>
    </xf>
    <xf numFmtId="1" fontId="2" fillId="0" borderId="20"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37" xfId="0" applyNumberFormat="1" applyFont="1" applyFill="1" applyBorder="1" applyAlignment="1">
      <alignment horizontal="center"/>
    </xf>
    <xf numFmtId="164" fontId="2" fillId="0" borderId="25" xfId="0" applyNumberFormat="1" applyFont="1" applyFill="1" applyBorder="1" applyAlignment="1">
      <alignment horizontal="center"/>
    </xf>
    <xf numFmtId="164" fontId="2" fillId="0" borderId="26" xfId="0" applyNumberFormat="1" applyFont="1" applyFill="1" applyBorder="1" applyAlignment="1">
      <alignment horizontal="center"/>
    </xf>
    <xf numFmtId="164" fontId="2" fillId="0" borderId="27"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26" xfId="0" applyNumberFormat="1" applyFont="1" applyFill="1" applyBorder="1" applyAlignment="1">
      <alignment horizontal="center"/>
    </xf>
    <xf numFmtId="4" fontId="2" fillId="0" borderId="25" xfId="0" applyNumberFormat="1" applyFont="1" applyFill="1" applyBorder="1" applyAlignment="1">
      <alignment horizontal="center"/>
    </xf>
    <xf numFmtId="0" fontId="2" fillId="0" borderId="31" xfId="0" applyFont="1" applyFill="1" applyBorder="1" applyAlignment="1">
      <alignment horizontal="center"/>
    </xf>
    <xf numFmtId="0" fontId="2" fillId="0" borderId="33" xfId="0" applyFont="1" applyFill="1" applyBorder="1" applyAlignment="1">
      <alignment horizontal="center"/>
    </xf>
    <xf numFmtId="0" fontId="2" fillId="0" borderId="32" xfId="0" applyFont="1" applyFill="1" applyBorder="1" applyAlignment="1">
      <alignment horizontal="center"/>
    </xf>
    <xf numFmtId="0" fontId="7" fillId="0" borderId="15" xfId="0" applyFont="1" applyFill="1" applyBorder="1"/>
    <xf numFmtId="0" fontId="7" fillId="0" borderId="18" xfId="0" applyFont="1" applyFill="1" applyBorder="1"/>
    <xf numFmtId="0" fontId="7" fillId="0" borderId="28" xfId="0" applyFont="1" applyFill="1" applyBorder="1"/>
    <xf numFmtId="0" fontId="7" fillId="0" borderId="30" xfId="0" applyFont="1" applyFill="1" applyBorder="1"/>
    <xf numFmtId="0" fontId="0" fillId="0" borderId="1" xfId="0" applyFill="1" applyBorder="1" applyAlignment="1">
      <alignment horizontal="center"/>
    </xf>
    <xf numFmtId="0" fontId="0" fillId="0" borderId="2" xfId="0" applyFill="1" applyBorder="1"/>
    <xf numFmtId="0" fontId="0" fillId="0" borderId="3" xfId="0" applyFill="1" applyBorder="1"/>
    <xf numFmtId="0" fontId="0" fillId="0" borderId="4" xfId="0" applyFill="1" applyBorder="1" applyAlignment="1">
      <alignment horizontal="center"/>
    </xf>
    <xf numFmtId="0" fontId="0" fillId="0" borderId="5" xfId="0" applyFill="1" applyBorder="1"/>
    <xf numFmtId="0" fontId="0" fillId="0" borderId="6" xfId="0" applyFill="1" applyBorder="1" applyAlignment="1">
      <alignment horizontal="center"/>
    </xf>
    <xf numFmtId="0" fontId="0" fillId="0" borderId="7" xfId="0" applyFill="1" applyBorder="1"/>
    <xf numFmtId="0" fontId="0" fillId="0" borderId="7" xfId="0" applyFill="1" applyBorder="1" applyAlignment="1">
      <alignment horizontal="center"/>
    </xf>
    <xf numFmtId="0" fontId="0" fillId="0" borderId="8" xfId="0" applyFill="1" applyBorder="1" applyAlignment="1">
      <alignment horizontal="center"/>
    </xf>
    <xf numFmtId="49" fontId="0" fillId="0" borderId="0" xfId="0" applyNumberFormat="1" applyFill="1" applyAlignment="1">
      <alignment vertical="top" wrapText="1"/>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35" xfId="0" applyFill="1" applyBorder="1" applyAlignment="1">
      <alignment horizontal="center"/>
    </xf>
    <xf numFmtId="0" fontId="2" fillId="0" borderId="9" xfId="0" applyFont="1" applyFill="1" applyBorder="1" applyAlignment="1">
      <alignment horizontal="center"/>
    </xf>
    <xf numFmtId="0" fontId="2" fillId="0" borderId="0" xfId="0" applyFont="1" applyFill="1" applyAlignment="1">
      <alignment horizontal="center" vertical="top" wrapText="1"/>
    </xf>
    <xf numFmtId="1" fontId="2" fillId="0" borderId="36"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3" xfId="0" applyNumberFormat="1" applyFont="1" applyFill="1" applyBorder="1" applyAlignment="1">
      <alignment horizontal="center"/>
    </xf>
    <xf numFmtId="0" fontId="2" fillId="0" borderId="18" xfId="0" applyFont="1" applyFill="1" applyBorder="1" applyAlignment="1">
      <alignment horizontal="left"/>
    </xf>
    <xf numFmtId="0" fontId="0" fillId="0" borderId="38" xfId="0" applyFill="1" applyBorder="1"/>
    <xf numFmtId="1" fontId="2" fillId="0" borderId="28" xfId="0" applyNumberFormat="1" applyFont="1" applyFill="1" applyBorder="1" applyAlignment="1">
      <alignment horizontal="center"/>
    </xf>
    <xf numFmtId="0" fontId="2" fillId="0" borderId="30" xfId="0" applyFont="1" applyFill="1" applyBorder="1"/>
    <xf numFmtId="1" fontId="2" fillId="0" borderId="30" xfId="0" applyNumberFormat="1" applyFont="1" applyFill="1" applyBorder="1" applyAlignment="1">
      <alignment horizontal="center"/>
    </xf>
    <xf numFmtId="0" fontId="1" fillId="0" borderId="0" xfId="0" applyFont="1" applyFill="1"/>
    <xf numFmtId="0" fontId="5" fillId="0" borderId="0" xfId="0" applyFont="1" applyFill="1"/>
    <xf numFmtId="0" fontId="0" fillId="0" borderId="0" xfId="0" applyFont="1"/>
    <xf numFmtId="0" fontId="0" fillId="0" borderId="0" xfId="0" applyFont="1" applyFill="1"/>
    <xf numFmtId="0" fontId="0" fillId="0" borderId="0" xfId="0" applyFont="1" applyAlignment="1">
      <alignment wrapText="1"/>
    </xf>
    <xf numFmtId="0" fontId="9" fillId="0" borderId="0" xfId="0" applyFont="1" applyFill="1"/>
    <xf numFmtId="0" fontId="9" fillId="0" borderId="0" xfId="0" applyFont="1"/>
    <xf numFmtId="0" fontId="0" fillId="0" borderId="1" xfId="0" applyFont="1" applyBorder="1" applyAlignment="1">
      <alignment horizontal="center"/>
    </xf>
    <xf numFmtId="0" fontId="0" fillId="0" borderId="2" xfId="0" applyFont="1" applyBorder="1"/>
    <xf numFmtId="0" fontId="0" fillId="0" borderId="3" xfId="0" applyFont="1" applyBorder="1"/>
    <xf numFmtId="0" fontId="0" fillId="0" borderId="4" xfId="0" applyFont="1" applyBorder="1" applyAlignment="1">
      <alignment horizontal="center"/>
    </xf>
    <xf numFmtId="0" fontId="0" fillId="0" borderId="5" xfId="0" applyFont="1" applyBorder="1"/>
    <xf numFmtId="0" fontId="0" fillId="0" borderId="6" xfId="0" applyFont="1" applyBorder="1" applyAlignment="1">
      <alignment horizontal="center"/>
    </xf>
    <xf numFmtId="0" fontId="0" fillId="0" borderId="7" xfId="0" applyFont="1" applyBorder="1"/>
    <xf numFmtId="0" fontId="0" fillId="0" borderId="7" xfId="0" applyFont="1" applyBorder="1" applyAlignment="1">
      <alignment horizontal="center"/>
    </xf>
    <xf numFmtId="0" fontId="0" fillId="0" borderId="8" xfId="0" applyFont="1" applyBorder="1" applyAlignment="1">
      <alignment horizontal="center"/>
    </xf>
    <xf numFmtId="0" fontId="10" fillId="0" borderId="1" xfId="0" applyFont="1" applyFill="1" applyBorder="1" applyAlignment="1">
      <alignment horizontal="center"/>
    </xf>
    <xf numFmtId="0" fontId="10" fillId="0" borderId="0" xfId="0" applyFont="1" applyAlignment="1">
      <alignment horizontal="center" wrapText="1"/>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35" xfId="0" applyFont="1" applyBorder="1" applyAlignment="1">
      <alignment horizontal="center"/>
    </xf>
    <xf numFmtId="0" fontId="10" fillId="0" borderId="9" xfId="0" applyFont="1" applyBorder="1" applyAlignment="1">
      <alignment horizontal="center"/>
    </xf>
    <xf numFmtId="0" fontId="0" fillId="0" borderId="15" xfId="0" applyFont="1" applyFill="1" applyBorder="1"/>
    <xf numFmtId="164" fontId="10" fillId="0" borderId="16" xfId="0" applyNumberFormat="1" applyFont="1" applyFill="1" applyBorder="1" applyAlignment="1">
      <alignment horizontal="center"/>
    </xf>
    <xf numFmtId="164" fontId="10" fillId="0" borderId="17" xfId="0" applyNumberFormat="1" applyFont="1" applyFill="1" applyBorder="1" applyAlignment="1">
      <alignment horizontal="center"/>
    </xf>
    <xf numFmtId="164" fontId="10" fillId="0" borderId="4" xfId="0" applyNumberFormat="1" applyFont="1" applyFill="1" applyBorder="1" applyAlignment="1">
      <alignment horizontal="center"/>
    </xf>
    <xf numFmtId="3" fontId="10" fillId="0" borderId="36" xfId="0" applyNumberFormat="1" applyFont="1" applyFill="1" applyBorder="1" applyAlignment="1">
      <alignment horizontal="center"/>
    </xf>
    <xf numFmtId="164" fontId="10" fillId="0" borderId="19" xfId="0" applyNumberFormat="1" applyFont="1" applyFill="1" applyBorder="1" applyAlignment="1">
      <alignment horizontal="center"/>
    </xf>
    <xf numFmtId="1" fontId="10" fillId="0" borderId="20" xfId="0" applyNumberFormat="1" applyFont="1" applyFill="1" applyBorder="1" applyAlignment="1">
      <alignment horizontal="center"/>
    </xf>
    <xf numFmtId="1" fontId="10" fillId="0" borderId="21" xfId="0" applyNumberFormat="1" applyFont="1" applyFill="1" applyBorder="1" applyAlignment="1">
      <alignment horizontal="center"/>
    </xf>
    <xf numFmtId="1" fontId="10" fillId="0" borderId="37" xfId="0" applyNumberFormat="1" applyFont="1" applyFill="1" applyBorder="1" applyAlignment="1">
      <alignment horizontal="center"/>
    </xf>
    <xf numFmtId="164" fontId="10" fillId="0" borderId="18" xfId="0" applyNumberFormat="1" applyFont="1" applyFill="1" applyBorder="1" applyAlignment="1">
      <alignment horizontal="center"/>
    </xf>
    <xf numFmtId="0" fontId="11" fillId="0" borderId="0" xfId="0" applyFont="1" applyFill="1" applyAlignment="1">
      <alignment horizontal="left" wrapText="1"/>
    </xf>
    <xf numFmtId="0" fontId="0" fillId="0" borderId="18" xfId="0" applyFont="1" applyFill="1" applyBorder="1"/>
    <xf numFmtId="164" fontId="10" fillId="0" borderId="22" xfId="0" applyNumberFormat="1" applyFont="1" applyFill="1" applyBorder="1" applyAlignment="1">
      <alignment horizontal="center"/>
    </xf>
    <xf numFmtId="164" fontId="10" fillId="0" borderId="23" xfId="0" applyNumberFormat="1" applyFont="1" applyFill="1" applyBorder="1" applyAlignment="1">
      <alignment horizontal="center"/>
    </xf>
    <xf numFmtId="164" fontId="10" fillId="0" borderId="14" xfId="0" applyNumberFormat="1" applyFont="1" applyFill="1" applyBorder="1" applyAlignment="1">
      <alignment horizontal="center"/>
    </xf>
    <xf numFmtId="1" fontId="10" fillId="0" borderId="24" xfId="0" applyNumberFormat="1" applyFont="1" applyFill="1" applyBorder="1" applyAlignment="1">
      <alignment horizontal="center"/>
    </xf>
    <xf numFmtId="1" fontId="10" fillId="0" borderId="23" xfId="0" applyNumberFormat="1" applyFont="1" applyFill="1" applyBorder="1" applyAlignment="1">
      <alignment horizontal="center"/>
    </xf>
    <xf numFmtId="4" fontId="10" fillId="0" borderId="22" xfId="0" applyNumberFormat="1" applyFont="1" applyFill="1" applyBorder="1" applyAlignment="1">
      <alignment horizontal="center"/>
    </xf>
    <xf numFmtId="0" fontId="10" fillId="0" borderId="0" xfId="0" applyFont="1" applyFill="1" applyAlignment="1">
      <alignment horizontal="left" wrapText="1"/>
    </xf>
    <xf numFmtId="0" fontId="10" fillId="0" borderId="28" xfId="0" applyFont="1" applyFill="1" applyBorder="1"/>
    <xf numFmtId="164" fontId="10" fillId="0" borderId="25" xfId="0" applyNumberFormat="1" applyFont="1" applyFill="1" applyBorder="1" applyAlignment="1">
      <alignment horizontal="center"/>
    </xf>
    <xf numFmtId="164" fontId="10" fillId="0" borderId="26" xfId="0" applyNumberFormat="1" applyFont="1" applyFill="1" applyBorder="1" applyAlignment="1">
      <alignment horizontal="center"/>
    </xf>
    <xf numFmtId="164" fontId="10" fillId="0" borderId="27" xfId="0" applyNumberFormat="1" applyFont="1" applyFill="1" applyBorder="1" applyAlignment="1">
      <alignment horizontal="center"/>
    </xf>
    <xf numFmtId="1" fontId="10" fillId="0" borderId="29" xfId="0" applyNumberFormat="1" applyFont="1" applyFill="1" applyBorder="1" applyAlignment="1">
      <alignment horizontal="center"/>
    </xf>
    <xf numFmtId="1" fontId="10" fillId="0" borderId="26" xfId="0" applyNumberFormat="1" applyFont="1" applyFill="1" applyBorder="1" applyAlignment="1">
      <alignment horizontal="center"/>
    </xf>
    <xf numFmtId="4" fontId="10" fillId="0" borderId="25" xfId="0" applyNumberFormat="1" applyFont="1" applyFill="1" applyBorder="1" applyAlignment="1">
      <alignment horizontal="center"/>
    </xf>
    <xf numFmtId="1" fontId="10" fillId="0" borderId="14" xfId="0" applyNumberFormat="1" applyFont="1" applyFill="1" applyBorder="1" applyAlignment="1">
      <alignment horizontal="center"/>
    </xf>
    <xf numFmtId="0" fontId="10" fillId="0" borderId="24" xfId="0" applyFont="1" applyFill="1" applyBorder="1" applyAlignment="1">
      <alignment horizontal="center"/>
    </xf>
    <xf numFmtId="0" fontId="10" fillId="0" borderId="14" xfId="0" applyFont="1" applyFill="1" applyBorder="1" applyAlignment="1">
      <alignment horizontal="center"/>
    </xf>
    <xf numFmtId="0" fontId="10" fillId="0" borderId="22" xfId="0" applyFont="1" applyFill="1" applyBorder="1" applyAlignment="1">
      <alignment horizontal="center"/>
    </xf>
    <xf numFmtId="0" fontId="10" fillId="0" borderId="18" xfId="0" applyFont="1" applyFill="1" applyBorder="1"/>
    <xf numFmtId="0" fontId="0" fillId="0" borderId="30" xfId="0" applyFont="1" applyFill="1" applyBorder="1"/>
    <xf numFmtId="164" fontId="10" fillId="0" borderId="31" xfId="0" applyNumberFormat="1" applyFont="1" applyFill="1" applyBorder="1" applyAlignment="1">
      <alignment horizontal="center"/>
    </xf>
    <xf numFmtId="164" fontId="10" fillId="0" borderId="32" xfId="0" applyNumberFormat="1" applyFont="1" applyFill="1" applyBorder="1" applyAlignment="1">
      <alignment horizontal="center"/>
    </xf>
    <xf numFmtId="164" fontId="10" fillId="0" borderId="30" xfId="0" applyNumberFormat="1"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0" fontId="10" fillId="0" borderId="33" xfId="0" applyFont="1" applyFill="1" applyBorder="1" applyAlignment="1">
      <alignment horizontal="center"/>
    </xf>
    <xf numFmtId="0" fontId="10" fillId="0" borderId="32" xfId="0" applyFont="1" applyFill="1" applyBorder="1" applyAlignment="1">
      <alignment horizontal="center"/>
    </xf>
    <xf numFmtId="0" fontId="10" fillId="0" borderId="0" xfId="0" applyFont="1" applyFill="1" applyBorder="1"/>
    <xf numFmtId="164" fontId="0" fillId="0" borderId="0" xfId="0" applyNumberFormat="1" applyFont="1"/>
    <xf numFmtId="0" fontId="10" fillId="0" borderId="0" xfId="0" applyFont="1" applyFill="1"/>
    <xf numFmtId="0" fontId="0" fillId="0" borderId="2" xfId="0" applyFont="1" applyFill="1" applyBorder="1"/>
    <xf numFmtId="0" fontId="0" fillId="0" borderId="3" xfId="0" applyFont="1" applyFill="1" applyBorder="1"/>
    <xf numFmtId="0" fontId="0" fillId="0" borderId="4" xfId="0" applyFont="1" applyFill="1" applyBorder="1" applyAlignment="1">
      <alignment horizontal="center"/>
    </xf>
    <xf numFmtId="0" fontId="0" fillId="0" borderId="5" xfId="0" applyFont="1" applyFill="1" applyBorder="1"/>
    <xf numFmtId="0" fontId="0" fillId="0" borderId="6" xfId="0" applyFont="1" applyFill="1" applyBorder="1" applyAlignment="1">
      <alignment horizontal="center"/>
    </xf>
    <xf numFmtId="0" fontId="0" fillId="0" borderId="7" xfId="0" applyFont="1" applyFill="1" applyBorder="1"/>
    <xf numFmtId="0" fontId="0" fillId="0" borderId="7"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9" xfId="0" applyFont="1" applyFill="1" applyBorder="1" applyAlignment="1">
      <alignment horizontal="center"/>
    </xf>
    <xf numFmtId="0" fontId="0" fillId="0" borderId="13" xfId="0" applyFont="1" applyFill="1" applyBorder="1" applyAlignment="1">
      <alignment horizontal="center"/>
    </xf>
    <xf numFmtId="0" fontId="0" fillId="0" borderId="34" xfId="0" applyFont="1" applyBorder="1"/>
    <xf numFmtId="0" fontId="0" fillId="0" borderId="34" xfId="0" applyFont="1" applyFill="1" applyBorder="1"/>
    <xf numFmtId="0" fontId="0" fillId="0" borderId="0" xfId="0" applyFont="1" applyFill="1" applyBorder="1"/>
    <xf numFmtId="0" fontId="0" fillId="0" borderId="0" xfId="0" applyFont="1" applyBorder="1"/>
    <xf numFmtId="0" fontId="12" fillId="0" borderId="0" xfId="0" applyFont="1" applyFill="1"/>
    <xf numFmtId="0" fontId="10" fillId="0" borderId="8" xfId="0" applyFont="1" applyFill="1" applyBorder="1" applyAlignment="1">
      <alignment horizontal="center"/>
    </xf>
    <xf numFmtId="0" fontId="10" fillId="0" borderId="0" xfId="0" applyFont="1" applyAlignment="1">
      <alignment horizontal="left" wrapText="1"/>
    </xf>
    <xf numFmtId="0" fontId="10" fillId="0" borderId="9" xfId="0" applyFont="1" applyFill="1" applyBorder="1" applyAlignment="1">
      <alignment horizontal="center"/>
    </xf>
    <xf numFmtId="3" fontId="10" fillId="0" borderId="18" xfId="0" applyNumberFormat="1" applyFont="1" applyFill="1" applyBorder="1" applyAlignment="1">
      <alignment horizontal="center"/>
    </xf>
    <xf numFmtId="164" fontId="10" fillId="0" borderId="18" xfId="0" applyNumberFormat="1" applyFont="1" applyBorder="1" applyAlignment="1">
      <alignment horizontal="center"/>
    </xf>
    <xf numFmtId="0" fontId="10" fillId="2" borderId="0" xfId="0" applyFont="1" applyFill="1" applyAlignment="1">
      <alignment horizontal="left" wrapText="1"/>
    </xf>
    <xf numFmtId="165" fontId="10" fillId="0" borderId="14" xfId="0" applyNumberFormat="1" applyFont="1" applyFill="1" applyBorder="1" applyAlignment="1">
      <alignment horizontal="center"/>
    </xf>
    <xf numFmtId="166" fontId="10" fillId="0" borderId="22" xfId="0" applyNumberFormat="1" applyFont="1" applyFill="1" applyBorder="1" applyAlignment="1">
      <alignment horizontal="center"/>
    </xf>
    <xf numFmtId="164" fontId="10" fillId="0" borderId="22" xfId="0" applyNumberFormat="1" applyFont="1" applyFill="1" applyBorder="1" applyAlignment="1">
      <alignment horizontal="left"/>
    </xf>
    <xf numFmtId="3" fontId="10" fillId="0" borderId="28" xfId="0" applyNumberFormat="1" applyFont="1" applyFill="1" applyBorder="1" applyAlignment="1">
      <alignment horizontal="center"/>
    </xf>
    <xf numFmtId="0" fontId="9"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74" zoomScaleNormal="74" workbookViewId="0">
      <selection activeCell="I42" sqref="I42"/>
    </sheetView>
  </sheetViews>
  <sheetFormatPr defaultRowHeight="15"/>
  <cols>
    <col min="1" max="1" width="20.85546875" style="81" customWidth="1"/>
    <col min="2" max="2" width="9" style="81" customWidth="1"/>
    <col min="3" max="3" width="9.140625" style="81"/>
    <col min="4" max="4" width="8.7109375" style="81" customWidth="1"/>
    <col min="5" max="5" width="8.42578125" style="81" customWidth="1"/>
    <col min="6" max="6" width="7" style="81" customWidth="1"/>
    <col min="7" max="7" width="6.42578125" style="81" customWidth="1"/>
    <col min="8" max="8" width="7.140625" style="81" customWidth="1"/>
    <col min="9" max="10" width="6.42578125" style="81" customWidth="1"/>
    <col min="11" max="11" width="7.140625" style="81" customWidth="1"/>
    <col min="12" max="12" width="6.42578125" style="81" customWidth="1"/>
    <col min="13" max="13" width="12.85546875" style="81" customWidth="1"/>
    <col min="14" max="14" width="14.7109375" style="81" customWidth="1"/>
    <col min="15" max="15" width="10.85546875" style="81" bestFit="1" customWidth="1"/>
    <col min="16" max="16" width="16.5703125" style="81" bestFit="1" customWidth="1"/>
    <col min="17" max="18" width="9.7109375" style="81" customWidth="1"/>
    <col min="19" max="19" width="166.140625" style="81" customWidth="1"/>
    <col min="20" max="16384" width="9.140625" style="81"/>
  </cols>
  <sheetData>
    <row r="1" spans="1:19">
      <c r="B1" s="82">
        <v>2013</v>
      </c>
      <c r="C1" s="82" t="s">
        <v>40</v>
      </c>
      <c r="D1" s="82"/>
      <c r="E1" s="82"/>
      <c r="F1" s="82"/>
      <c r="G1" s="82"/>
      <c r="H1" s="82"/>
      <c r="I1" s="82"/>
      <c r="J1" s="82"/>
      <c r="K1" s="82"/>
      <c r="L1" s="82"/>
      <c r="M1" s="82"/>
      <c r="N1" s="82"/>
      <c r="O1" s="82"/>
      <c r="P1" s="82"/>
      <c r="Q1" s="82"/>
      <c r="S1" s="83"/>
    </row>
    <row r="2" spans="1:19">
      <c r="B2" s="82"/>
      <c r="C2" s="82" t="s">
        <v>0</v>
      </c>
      <c r="D2" s="82"/>
      <c r="E2" s="82"/>
      <c r="F2" s="82"/>
      <c r="G2" s="82"/>
      <c r="H2" s="82"/>
      <c r="I2" s="82"/>
      <c r="J2" s="82"/>
      <c r="K2" s="82"/>
      <c r="L2" s="82"/>
      <c r="M2" s="82"/>
      <c r="N2" s="82"/>
      <c r="O2" s="82"/>
      <c r="P2" s="82"/>
      <c r="Q2" s="82"/>
      <c r="S2" s="83"/>
    </row>
    <row r="3" spans="1:19">
      <c r="B3" s="84" t="s">
        <v>1</v>
      </c>
      <c r="C3" s="82"/>
      <c r="D3" s="82"/>
      <c r="E3" s="82"/>
      <c r="F3" s="82"/>
      <c r="G3" s="82"/>
      <c r="H3" s="82"/>
      <c r="I3" s="82"/>
      <c r="J3" s="82"/>
      <c r="K3" s="82"/>
      <c r="L3" s="82"/>
      <c r="M3" s="82"/>
      <c r="N3" s="82"/>
      <c r="O3" s="82"/>
      <c r="P3" s="82"/>
      <c r="Q3" s="82"/>
      <c r="S3" s="83"/>
    </row>
    <row r="4" spans="1:19" ht="15" customHeight="1">
      <c r="B4" s="82"/>
      <c r="C4" s="84" t="s">
        <v>2</v>
      </c>
      <c r="D4" s="84"/>
      <c r="E4" s="82"/>
      <c r="F4" s="82"/>
      <c r="G4" s="82"/>
      <c r="H4" s="82"/>
      <c r="I4" s="82"/>
      <c r="J4" s="82"/>
      <c r="K4" s="82"/>
      <c r="L4" s="82"/>
      <c r="M4" s="82"/>
      <c r="N4" s="82"/>
      <c r="O4" s="82"/>
      <c r="P4" s="82"/>
      <c r="Q4" s="82"/>
      <c r="S4" s="83"/>
    </row>
    <row r="5" spans="1:19" ht="15.75" thickBot="1">
      <c r="B5" s="80" t="s">
        <v>77</v>
      </c>
      <c r="C5" s="162"/>
      <c r="D5" s="162"/>
      <c r="E5" s="80"/>
      <c r="F5" s="80"/>
      <c r="G5" s="80"/>
      <c r="H5" s="80"/>
      <c r="I5" s="80"/>
      <c r="J5" s="80"/>
      <c r="K5" s="80"/>
      <c r="L5" s="80"/>
      <c r="M5" s="80"/>
      <c r="N5" s="82"/>
      <c r="O5" s="82"/>
      <c r="P5" s="82"/>
      <c r="Q5" s="82"/>
      <c r="S5" s="96" t="s">
        <v>3</v>
      </c>
    </row>
    <row r="6" spans="1:19" ht="15.75" thickBot="1">
      <c r="A6" s="86" t="s">
        <v>4</v>
      </c>
      <c r="B6" s="146" t="s">
        <v>5</v>
      </c>
      <c r="C6" s="146"/>
      <c r="D6" s="147" t="s">
        <v>6</v>
      </c>
      <c r="E6" s="148"/>
      <c r="F6" s="149"/>
      <c r="G6" s="150" t="s">
        <v>7</v>
      </c>
      <c r="H6" s="151"/>
      <c r="I6" s="149"/>
      <c r="J6" s="150" t="s">
        <v>8</v>
      </c>
      <c r="K6" s="151"/>
      <c r="L6" s="149" t="s">
        <v>9</v>
      </c>
      <c r="M6" s="152"/>
      <c r="N6" s="163" t="s">
        <v>10</v>
      </c>
      <c r="O6" s="95" t="s">
        <v>11</v>
      </c>
      <c r="P6" s="95" t="s">
        <v>12</v>
      </c>
      <c r="Q6" s="95" t="s">
        <v>13</v>
      </c>
      <c r="R6" s="95" t="s">
        <v>13</v>
      </c>
      <c r="S6" s="164"/>
    </row>
    <row r="7" spans="1:19" ht="1.5" customHeight="1" thickBot="1">
      <c r="A7" s="97" t="s">
        <v>14</v>
      </c>
      <c r="B7" s="153" t="s">
        <v>15</v>
      </c>
      <c r="C7" s="154" t="s">
        <v>16</v>
      </c>
      <c r="D7" s="155" t="s">
        <v>17</v>
      </c>
      <c r="E7" s="156" t="s">
        <v>18</v>
      </c>
      <c r="F7" s="153" t="s">
        <v>17</v>
      </c>
      <c r="G7" s="157" t="s">
        <v>19</v>
      </c>
      <c r="H7" s="154" t="s">
        <v>20</v>
      </c>
      <c r="I7" s="153" t="s">
        <v>17</v>
      </c>
      <c r="J7" s="157" t="s">
        <v>19</v>
      </c>
      <c r="K7" s="154" t="s">
        <v>20</v>
      </c>
      <c r="L7" s="153" t="s">
        <v>17</v>
      </c>
      <c r="M7" s="130" t="s">
        <v>21</v>
      </c>
      <c r="N7" s="156" t="s">
        <v>22</v>
      </c>
      <c r="O7" s="165" t="s">
        <v>23</v>
      </c>
      <c r="P7" s="165" t="s">
        <v>24</v>
      </c>
      <c r="Q7" s="165" t="s">
        <v>11</v>
      </c>
      <c r="R7" s="103" t="s">
        <v>25</v>
      </c>
      <c r="S7" s="164"/>
    </row>
    <row r="8" spans="1:19" s="30" customFormat="1" ht="15" customHeight="1">
      <c r="A8" s="49" t="s">
        <v>60</v>
      </c>
      <c r="B8" s="105"/>
      <c r="C8" s="106">
        <v>0</v>
      </c>
      <c r="D8" s="107">
        <v>1.5</v>
      </c>
      <c r="E8" s="166">
        <v>1000</v>
      </c>
      <c r="F8" s="109"/>
      <c r="G8" s="110"/>
      <c r="H8" s="111"/>
      <c r="I8" s="109"/>
      <c r="J8" s="110"/>
      <c r="K8" s="111"/>
      <c r="L8" s="105"/>
      <c r="M8" s="130"/>
      <c r="N8" s="113">
        <f t="shared" ref="N8:N14" si="0">C8 +(D8*15)</f>
        <v>22.5</v>
      </c>
      <c r="O8" s="113">
        <v>9.07</v>
      </c>
      <c r="P8" s="113">
        <v>64.8</v>
      </c>
      <c r="Q8" s="113">
        <f>O8+P8</f>
        <v>73.87</v>
      </c>
      <c r="R8" s="167">
        <f>N8+Q8</f>
        <v>96.37</v>
      </c>
      <c r="S8" s="164" t="s">
        <v>210</v>
      </c>
    </row>
    <row r="9" spans="1:19" s="30" customFormat="1">
      <c r="A9" s="50" t="s">
        <v>161</v>
      </c>
      <c r="B9" s="116"/>
      <c r="C9" s="117">
        <v>1.5</v>
      </c>
      <c r="D9" s="118">
        <v>3</v>
      </c>
      <c r="E9" s="166">
        <v>1000</v>
      </c>
      <c r="F9" s="116"/>
      <c r="G9" s="119"/>
      <c r="H9" s="120"/>
      <c r="I9" s="121"/>
      <c r="J9" s="119"/>
      <c r="K9" s="120"/>
      <c r="L9" s="116"/>
      <c r="M9" s="130"/>
      <c r="N9" s="113">
        <f>C9 +(D9*15)</f>
        <v>46.5</v>
      </c>
      <c r="O9" s="113">
        <v>9.07</v>
      </c>
      <c r="P9" s="113">
        <v>64.8</v>
      </c>
      <c r="Q9" s="113">
        <f t="shared" ref="Q9:Q33" si="1">O9+P9</f>
        <v>73.87</v>
      </c>
      <c r="R9" s="167">
        <f t="shared" ref="R9:R33" si="2">N9+Q9</f>
        <v>120.37</v>
      </c>
      <c r="S9" s="168" t="s">
        <v>146</v>
      </c>
    </row>
    <row r="10" spans="1:19" s="30" customFormat="1">
      <c r="A10" s="50" t="s">
        <v>56</v>
      </c>
      <c r="B10" s="116"/>
      <c r="C10" s="117">
        <v>1.5</v>
      </c>
      <c r="D10" s="118">
        <v>4.5</v>
      </c>
      <c r="E10" s="166">
        <v>1000</v>
      </c>
      <c r="F10" s="116"/>
      <c r="G10" s="119"/>
      <c r="H10" s="120"/>
      <c r="I10" s="121"/>
      <c r="J10" s="119"/>
      <c r="K10" s="120"/>
      <c r="L10" s="116"/>
      <c r="M10" s="130"/>
      <c r="N10" s="113">
        <f t="shared" si="0"/>
        <v>69</v>
      </c>
      <c r="O10" s="113">
        <v>9.07</v>
      </c>
      <c r="P10" s="113">
        <v>64.8</v>
      </c>
      <c r="Q10" s="113">
        <f t="shared" si="1"/>
        <v>73.87</v>
      </c>
      <c r="R10" s="167">
        <f t="shared" si="2"/>
        <v>142.87</v>
      </c>
      <c r="S10" s="168" t="s">
        <v>148</v>
      </c>
    </row>
    <row r="11" spans="1:19" s="30" customFormat="1">
      <c r="A11" s="50" t="s">
        <v>26</v>
      </c>
      <c r="B11" s="116"/>
      <c r="C11" s="117">
        <v>1.5</v>
      </c>
      <c r="D11" s="118">
        <v>3.5</v>
      </c>
      <c r="E11" s="166">
        <v>1000</v>
      </c>
      <c r="F11" s="116"/>
      <c r="G11" s="119"/>
      <c r="H11" s="120"/>
      <c r="I11" s="121"/>
      <c r="J11" s="119"/>
      <c r="K11" s="120"/>
      <c r="L11" s="116"/>
      <c r="M11" s="130"/>
      <c r="N11" s="113">
        <f t="shared" si="0"/>
        <v>54</v>
      </c>
      <c r="O11" s="113">
        <v>9.07</v>
      </c>
      <c r="P11" s="113">
        <v>64.8</v>
      </c>
      <c r="Q11" s="113">
        <f t="shared" si="1"/>
        <v>73.87</v>
      </c>
      <c r="R11" s="167">
        <f t="shared" si="2"/>
        <v>127.87</v>
      </c>
      <c r="S11" s="168" t="s">
        <v>139</v>
      </c>
    </row>
    <row r="12" spans="1:19" s="30" customFormat="1">
      <c r="A12" s="50" t="s">
        <v>27</v>
      </c>
      <c r="B12" s="116"/>
      <c r="C12" s="117">
        <v>0</v>
      </c>
      <c r="D12" s="118">
        <f>54-9.07-(7.2*4.32)</f>
        <v>13.825999999999997</v>
      </c>
      <c r="E12" s="166">
        <v>6800</v>
      </c>
      <c r="F12" s="116">
        <v>3.68</v>
      </c>
      <c r="G12" s="119" t="s">
        <v>28</v>
      </c>
      <c r="H12" s="120"/>
      <c r="I12" s="121"/>
      <c r="J12" s="119"/>
      <c r="K12" s="120"/>
      <c r="L12" s="116"/>
      <c r="M12" s="130"/>
      <c r="N12" s="113">
        <f>D12+(F12*7.8)</f>
        <v>42.53</v>
      </c>
      <c r="O12" s="113">
        <v>9.07</v>
      </c>
      <c r="P12" s="113">
        <v>64.8</v>
      </c>
      <c r="Q12" s="113">
        <f t="shared" si="1"/>
        <v>73.87</v>
      </c>
      <c r="R12" s="167">
        <f t="shared" si="2"/>
        <v>116.4</v>
      </c>
      <c r="S12" s="122" t="s">
        <v>143</v>
      </c>
    </row>
    <row r="13" spans="1:19" s="30" customFormat="1" ht="26.25">
      <c r="A13" s="50" t="s">
        <v>160</v>
      </c>
      <c r="B13" s="116"/>
      <c r="C13" s="117">
        <v>6.03</v>
      </c>
      <c r="D13" s="169">
        <v>2.16</v>
      </c>
      <c r="E13" s="166">
        <v>1000</v>
      </c>
      <c r="F13" s="116"/>
      <c r="G13" s="119"/>
      <c r="H13" s="120"/>
      <c r="I13" s="121"/>
      <c r="J13" s="119"/>
      <c r="K13" s="120"/>
      <c r="L13" s="116"/>
      <c r="M13" s="130"/>
      <c r="N13" s="113">
        <f>C13 +(D13*15)</f>
        <v>38.430000000000007</v>
      </c>
      <c r="O13" s="113">
        <v>9.07</v>
      </c>
      <c r="P13" s="113">
        <v>64.8</v>
      </c>
      <c r="Q13" s="113">
        <f t="shared" si="1"/>
        <v>73.87</v>
      </c>
      <c r="R13" s="167">
        <f t="shared" si="2"/>
        <v>112.30000000000001</v>
      </c>
      <c r="S13" s="168" t="s">
        <v>141</v>
      </c>
    </row>
    <row r="14" spans="1:19" s="30" customFormat="1">
      <c r="A14" s="134" t="s">
        <v>79</v>
      </c>
      <c r="B14" s="116"/>
      <c r="C14" s="117">
        <v>1.5</v>
      </c>
      <c r="D14" s="118">
        <v>4.7</v>
      </c>
      <c r="E14" s="166">
        <v>1000</v>
      </c>
      <c r="F14" s="116"/>
      <c r="G14" s="119"/>
      <c r="H14" s="120"/>
      <c r="I14" s="121"/>
      <c r="J14" s="119"/>
      <c r="K14" s="120"/>
      <c r="L14" s="170">
        <v>0.03</v>
      </c>
      <c r="M14" s="118">
        <f>(N14+Q14)*0.03</f>
        <v>4.3761000000000001</v>
      </c>
      <c r="N14" s="113">
        <f t="shared" si="0"/>
        <v>72</v>
      </c>
      <c r="O14" s="113">
        <v>9.07</v>
      </c>
      <c r="P14" s="113">
        <v>64.8</v>
      </c>
      <c r="Q14" s="113">
        <f t="shared" si="1"/>
        <v>73.87</v>
      </c>
      <c r="R14" s="167">
        <f>N14+Q14+M14</f>
        <v>150.24610000000001</v>
      </c>
      <c r="S14" s="168" t="s">
        <v>140</v>
      </c>
    </row>
    <row r="15" spans="1:19" s="30" customFormat="1">
      <c r="A15" s="50" t="s">
        <v>158</v>
      </c>
      <c r="B15" s="116"/>
      <c r="C15" s="117">
        <v>0</v>
      </c>
      <c r="D15" s="118">
        <v>4.75</v>
      </c>
      <c r="E15" s="166">
        <v>1000</v>
      </c>
      <c r="F15" s="116"/>
      <c r="G15" s="119"/>
      <c r="H15" s="120"/>
      <c r="I15" s="121"/>
      <c r="J15" s="119"/>
      <c r="K15" s="120"/>
      <c r="L15" s="116"/>
      <c r="M15" s="130"/>
      <c r="N15" s="113">
        <f>C15 +(D15*15)</f>
        <v>71.25</v>
      </c>
      <c r="O15" s="113">
        <v>9.07</v>
      </c>
      <c r="P15" s="113">
        <v>64.8</v>
      </c>
      <c r="Q15" s="113">
        <f t="shared" si="1"/>
        <v>73.87</v>
      </c>
      <c r="R15" s="167">
        <f t="shared" si="2"/>
        <v>145.12</v>
      </c>
      <c r="S15" s="122" t="s">
        <v>220</v>
      </c>
    </row>
    <row r="16" spans="1:19" s="30" customFormat="1">
      <c r="A16" s="50" t="s">
        <v>159</v>
      </c>
      <c r="B16" s="116"/>
      <c r="C16" s="117"/>
      <c r="D16" s="118">
        <f>19.42-3.02-(2*4.32)</f>
        <v>7.7600000000000016</v>
      </c>
      <c r="E16" s="166">
        <v>2000</v>
      </c>
      <c r="F16" s="116">
        <f>8.2-4.32</f>
        <v>3.879999999999999</v>
      </c>
      <c r="G16" s="119">
        <v>2001</v>
      </c>
      <c r="H16" s="120"/>
      <c r="I16" s="121"/>
      <c r="J16" s="119"/>
      <c r="K16" s="120"/>
      <c r="L16" s="116"/>
      <c r="M16" s="130"/>
      <c r="N16" s="113">
        <f xml:space="preserve"> (D16)+(F16*13)</f>
        <v>58.199999999999989</v>
      </c>
      <c r="O16" s="113">
        <v>9.07</v>
      </c>
      <c r="P16" s="113">
        <v>64.8</v>
      </c>
      <c r="Q16" s="113">
        <f t="shared" si="1"/>
        <v>73.87</v>
      </c>
      <c r="R16" s="167">
        <f t="shared" si="2"/>
        <v>132.07</v>
      </c>
      <c r="S16" s="122" t="s">
        <v>137</v>
      </c>
    </row>
    <row r="17" spans="1:19" s="30" customFormat="1">
      <c r="A17" s="50" t="s">
        <v>157</v>
      </c>
      <c r="B17" s="116"/>
      <c r="C17" s="117">
        <v>1.5</v>
      </c>
      <c r="D17" s="118">
        <v>7</v>
      </c>
      <c r="E17" s="166">
        <v>1000</v>
      </c>
      <c r="F17" s="116"/>
      <c r="G17" s="119"/>
      <c r="H17" s="120"/>
      <c r="I17" s="121"/>
      <c r="J17" s="119"/>
      <c r="K17" s="120"/>
      <c r="L17" s="116"/>
      <c r="M17" s="130"/>
      <c r="N17" s="113">
        <f>C17 +(D17*15)</f>
        <v>106.5</v>
      </c>
      <c r="O17" s="113">
        <v>9.07</v>
      </c>
      <c r="P17" s="113">
        <v>64.8</v>
      </c>
      <c r="Q17" s="113">
        <f t="shared" si="1"/>
        <v>73.87</v>
      </c>
      <c r="R17" s="167">
        <f t="shared" si="2"/>
        <v>180.37</v>
      </c>
      <c r="S17" s="168" t="s">
        <v>149</v>
      </c>
    </row>
    <row r="18" spans="1:19" s="30" customFormat="1" ht="26.25">
      <c r="A18" s="50" t="s">
        <v>95</v>
      </c>
      <c r="B18" s="116"/>
      <c r="C18" s="117">
        <v>0</v>
      </c>
      <c r="D18" s="118">
        <f>43.3*3-Q18</f>
        <v>56.029999999999973</v>
      </c>
      <c r="E18" s="166" t="s">
        <v>29</v>
      </c>
      <c r="F18" s="171" t="s">
        <v>30</v>
      </c>
      <c r="G18" s="119"/>
      <c r="H18" s="120"/>
      <c r="I18" s="121"/>
      <c r="J18" s="119"/>
      <c r="K18" s="120"/>
      <c r="L18" s="116"/>
      <c r="M18" s="130"/>
      <c r="N18" s="113">
        <f>D18</f>
        <v>56.029999999999973</v>
      </c>
      <c r="O18" s="113">
        <v>9.07</v>
      </c>
      <c r="P18" s="113">
        <v>64.8</v>
      </c>
      <c r="Q18" s="113">
        <f t="shared" si="1"/>
        <v>73.87</v>
      </c>
      <c r="R18" s="167">
        <f t="shared" si="2"/>
        <v>129.89999999999998</v>
      </c>
      <c r="S18" s="168" t="s">
        <v>96</v>
      </c>
    </row>
    <row r="19" spans="1:19" ht="26.25">
      <c r="A19" s="50" t="s">
        <v>31</v>
      </c>
      <c r="B19" s="116"/>
      <c r="C19" s="117">
        <v>0</v>
      </c>
      <c r="D19" s="118">
        <f>63-9.07-(6*4.32)</f>
        <v>28.009999999999998</v>
      </c>
      <c r="E19" s="166">
        <v>6000</v>
      </c>
      <c r="F19" s="116">
        <f>10.5-4.32</f>
        <v>6.18</v>
      </c>
      <c r="G19" s="119">
        <v>6001</v>
      </c>
      <c r="H19" s="120"/>
      <c r="I19" s="121"/>
      <c r="J19" s="119"/>
      <c r="K19" s="120"/>
      <c r="L19" s="116"/>
      <c r="M19" s="130"/>
      <c r="N19" s="113">
        <f>C19+D19+(F19*9)</f>
        <v>83.63</v>
      </c>
      <c r="O19" s="113">
        <v>9.07</v>
      </c>
      <c r="P19" s="113">
        <v>64.8</v>
      </c>
      <c r="Q19" s="113">
        <f t="shared" si="1"/>
        <v>73.87</v>
      </c>
      <c r="R19" s="167">
        <f>N19+Q19</f>
        <v>157.5</v>
      </c>
      <c r="S19" s="168" t="s">
        <v>126</v>
      </c>
    </row>
    <row r="20" spans="1:19" s="30" customFormat="1">
      <c r="A20" s="50" t="s">
        <v>156</v>
      </c>
      <c r="B20" s="124"/>
      <c r="C20" s="125">
        <v>5.93</v>
      </c>
      <c r="D20" s="126">
        <v>7</v>
      </c>
      <c r="E20" s="172">
        <v>1000</v>
      </c>
      <c r="F20" s="124"/>
      <c r="G20" s="127"/>
      <c r="H20" s="128"/>
      <c r="I20" s="129"/>
      <c r="J20" s="127"/>
      <c r="K20" s="128"/>
      <c r="L20" s="124"/>
      <c r="M20" s="130"/>
      <c r="N20" s="113">
        <f>C20 +(D20*15)</f>
        <v>110.93</v>
      </c>
      <c r="O20" s="113">
        <v>9.07</v>
      </c>
      <c r="P20" s="113">
        <v>64.8</v>
      </c>
      <c r="Q20" s="113">
        <f t="shared" si="1"/>
        <v>73.87</v>
      </c>
      <c r="R20" s="167">
        <f t="shared" si="2"/>
        <v>184.8</v>
      </c>
      <c r="S20" s="168" t="s">
        <v>134</v>
      </c>
    </row>
    <row r="21" spans="1:19" s="30" customFormat="1" ht="26.25">
      <c r="A21" s="51" t="s">
        <v>32</v>
      </c>
      <c r="B21" s="116"/>
      <c r="C21" s="118">
        <v>0</v>
      </c>
      <c r="D21" s="113">
        <f>81.81-9.07-(3*4.32)</f>
        <v>59.780000000000008</v>
      </c>
      <c r="E21" s="172">
        <v>3000</v>
      </c>
      <c r="F21" s="116">
        <f>5.87-4.32</f>
        <v>1.5499999999999998</v>
      </c>
      <c r="G21" s="119">
        <v>3001</v>
      </c>
      <c r="H21" s="130"/>
      <c r="I21" s="121"/>
      <c r="J21" s="119"/>
      <c r="K21" s="130"/>
      <c r="L21" s="116"/>
      <c r="M21" s="130"/>
      <c r="N21" s="113">
        <f>D21 +(F21*12)</f>
        <v>78.38000000000001</v>
      </c>
      <c r="O21" s="113">
        <v>9.07</v>
      </c>
      <c r="P21" s="113">
        <v>64.8</v>
      </c>
      <c r="Q21" s="113">
        <f t="shared" si="1"/>
        <v>73.87</v>
      </c>
      <c r="R21" s="167">
        <f t="shared" si="2"/>
        <v>152.25</v>
      </c>
      <c r="S21" s="122" t="s">
        <v>155</v>
      </c>
    </row>
    <row r="22" spans="1:19" s="30" customFormat="1">
      <c r="A22" s="51" t="s">
        <v>57</v>
      </c>
      <c r="B22" s="116"/>
      <c r="C22" s="118">
        <v>1.5</v>
      </c>
      <c r="D22" s="113">
        <v>1.5</v>
      </c>
      <c r="E22" s="166">
        <v>1000</v>
      </c>
      <c r="F22" s="133"/>
      <c r="G22" s="131"/>
      <c r="H22" s="132"/>
      <c r="I22" s="133"/>
      <c r="J22" s="131"/>
      <c r="K22" s="132"/>
      <c r="L22" s="133"/>
      <c r="M22" s="132"/>
      <c r="N22" s="113">
        <f>C22 +(D22*15)</f>
        <v>24</v>
      </c>
      <c r="O22" s="113">
        <v>9.07</v>
      </c>
      <c r="P22" s="113">
        <v>64.8</v>
      </c>
      <c r="Q22" s="113">
        <f t="shared" si="1"/>
        <v>73.87</v>
      </c>
      <c r="R22" s="167">
        <f t="shared" si="2"/>
        <v>97.87</v>
      </c>
      <c r="S22" s="168" t="s">
        <v>135</v>
      </c>
    </row>
    <row r="23" spans="1:19" s="30" customFormat="1" ht="45.75" customHeight="1">
      <c r="A23" s="51" t="s">
        <v>33</v>
      </c>
      <c r="B23" s="116">
        <v>0</v>
      </c>
      <c r="C23" s="118"/>
      <c r="D23" s="113">
        <v>3.02</v>
      </c>
      <c r="E23" s="166">
        <v>1000</v>
      </c>
      <c r="F23" s="133"/>
      <c r="G23" s="131"/>
      <c r="H23" s="132"/>
      <c r="I23" s="133"/>
      <c r="J23" s="131"/>
      <c r="K23" s="132"/>
      <c r="L23" s="133"/>
      <c r="M23" s="132"/>
      <c r="N23" s="113">
        <f>(B23*3)+(D23*15)</f>
        <v>45.3</v>
      </c>
      <c r="O23" s="113">
        <v>9.07</v>
      </c>
      <c r="P23" s="113">
        <v>64.8</v>
      </c>
      <c r="Q23" s="113">
        <f t="shared" si="1"/>
        <v>73.87</v>
      </c>
      <c r="R23" s="167">
        <f t="shared" si="2"/>
        <v>119.17</v>
      </c>
      <c r="S23" s="122" t="s">
        <v>82</v>
      </c>
    </row>
    <row r="24" spans="1:19" s="30" customFormat="1" ht="39">
      <c r="A24" s="50" t="s">
        <v>34</v>
      </c>
      <c r="B24" s="116">
        <v>0</v>
      </c>
      <c r="C24" s="118"/>
      <c r="D24" s="113">
        <f>(27.35*3)-(4.32*5.61)-9.07</f>
        <v>48.744800000000005</v>
      </c>
      <c r="E24" s="166">
        <v>5610</v>
      </c>
      <c r="F24" s="133">
        <f>3.54-4.32</f>
        <v>-0.78000000000000025</v>
      </c>
      <c r="G24" s="131">
        <v>5611</v>
      </c>
      <c r="H24" s="132"/>
      <c r="I24" s="133"/>
      <c r="J24" s="131"/>
      <c r="K24" s="132"/>
      <c r="L24" s="133"/>
      <c r="M24" s="132"/>
      <c r="N24" s="113">
        <f>B24+D24+(F24*(15-5.61))</f>
        <v>41.4206</v>
      </c>
      <c r="O24" s="113">
        <v>9.07</v>
      </c>
      <c r="P24" s="113">
        <v>64.8</v>
      </c>
      <c r="Q24" s="113">
        <f t="shared" si="1"/>
        <v>73.87</v>
      </c>
      <c r="R24" s="167" t="s">
        <v>133</v>
      </c>
      <c r="S24" s="122" t="s">
        <v>106</v>
      </c>
    </row>
    <row r="25" spans="1:19" s="30" customFormat="1">
      <c r="A25" s="50" t="s">
        <v>154</v>
      </c>
      <c r="B25" s="116"/>
      <c r="C25" s="117">
        <f>(9.07*0.3)+1.5</f>
        <v>4.2210000000000001</v>
      </c>
      <c r="D25" s="169">
        <v>1.3</v>
      </c>
      <c r="E25" s="166">
        <v>1000</v>
      </c>
      <c r="F25" s="133"/>
      <c r="G25" s="131"/>
      <c r="H25" s="132"/>
      <c r="I25" s="133"/>
      <c r="J25" s="131"/>
      <c r="K25" s="132"/>
      <c r="L25" s="133"/>
      <c r="M25" s="132"/>
      <c r="N25" s="113">
        <f>C25 +(D25*15)</f>
        <v>23.721</v>
      </c>
      <c r="O25" s="113">
        <v>9.07</v>
      </c>
      <c r="P25" s="113">
        <v>64.8</v>
      </c>
      <c r="Q25" s="113">
        <f t="shared" si="1"/>
        <v>73.87</v>
      </c>
      <c r="R25" s="167">
        <f t="shared" si="2"/>
        <v>97.591000000000008</v>
      </c>
      <c r="S25" s="168" t="s">
        <v>147</v>
      </c>
    </row>
    <row r="26" spans="1:19" s="30" customFormat="1">
      <c r="A26" s="50" t="s">
        <v>103</v>
      </c>
      <c r="B26" s="116" t="s">
        <v>28</v>
      </c>
      <c r="C26" s="118">
        <v>1.5</v>
      </c>
      <c r="D26" s="113">
        <v>1.5</v>
      </c>
      <c r="E26" s="166">
        <v>1000</v>
      </c>
      <c r="F26" s="133"/>
      <c r="G26" s="131"/>
      <c r="H26" s="132"/>
      <c r="I26" s="133"/>
      <c r="J26" s="131"/>
      <c r="K26" s="132"/>
      <c r="L26" s="133"/>
      <c r="M26" s="132"/>
      <c r="N26" s="113">
        <f>C26 +(D26*15)</f>
        <v>24</v>
      </c>
      <c r="O26" s="113">
        <v>9.07</v>
      </c>
      <c r="P26" s="113">
        <v>64.8</v>
      </c>
      <c r="Q26" s="113">
        <f t="shared" si="1"/>
        <v>73.87</v>
      </c>
      <c r="R26" s="167">
        <f t="shared" si="2"/>
        <v>97.87</v>
      </c>
      <c r="S26" s="168" t="s">
        <v>145</v>
      </c>
    </row>
    <row r="27" spans="1:19" s="31" customFormat="1">
      <c r="A27" s="50" t="s">
        <v>35</v>
      </c>
      <c r="B27" s="116"/>
      <c r="C27" s="118">
        <f>9.6-9.07</f>
        <v>0.52999999999999936</v>
      </c>
      <c r="D27" s="113">
        <f>68.34-(6*4.32)</f>
        <v>42.42</v>
      </c>
      <c r="E27" s="166">
        <v>6000</v>
      </c>
      <c r="F27" s="118">
        <f>9.79-4.32</f>
        <v>5.4699999999999989</v>
      </c>
      <c r="G27" s="131">
        <v>6001</v>
      </c>
      <c r="H27" s="132"/>
      <c r="I27" s="133"/>
      <c r="J27" s="131"/>
      <c r="K27" s="132"/>
      <c r="L27" s="133"/>
      <c r="M27" s="132"/>
      <c r="N27" s="113">
        <f>C27+D27+(F27*9)</f>
        <v>92.179999999999993</v>
      </c>
      <c r="O27" s="113">
        <v>9.07</v>
      </c>
      <c r="P27" s="113">
        <v>64.8</v>
      </c>
      <c r="Q27" s="113">
        <f t="shared" si="1"/>
        <v>73.87</v>
      </c>
      <c r="R27" s="113">
        <f t="shared" si="2"/>
        <v>166.05</v>
      </c>
      <c r="S27" s="122" t="s">
        <v>208</v>
      </c>
    </row>
    <row r="28" spans="1:19" s="30" customFormat="1">
      <c r="A28" s="50" t="s">
        <v>80</v>
      </c>
      <c r="B28" s="116"/>
      <c r="C28" s="118">
        <v>1.5</v>
      </c>
      <c r="D28" s="113">
        <v>1.75</v>
      </c>
      <c r="E28" s="166">
        <v>1000</v>
      </c>
      <c r="F28" s="118"/>
      <c r="G28" s="131"/>
      <c r="H28" s="132"/>
      <c r="I28" s="133"/>
      <c r="J28" s="131"/>
      <c r="K28" s="132"/>
      <c r="L28" s="133"/>
      <c r="M28" s="132"/>
      <c r="N28" s="113">
        <f>C28 +(D28*15)</f>
        <v>27.75</v>
      </c>
      <c r="O28" s="113">
        <v>9.07</v>
      </c>
      <c r="P28" s="113">
        <v>64.8</v>
      </c>
      <c r="Q28" s="113">
        <f t="shared" si="1"/>
        <v>73.87</v>
      </c>
      <c r="R28" s="167">
        <f t="shared" si="2"/>
        <v>101.62</v>
      </c>
      <c r="S28" s="168" t="s">
        <v>144</v>
      </c>
    </row>
    <row r="29" spans="1:19" s="30" customFormat="1">
      <c r="A29" s="50" t="s">
        <v>36</v>
      </c>
      <c r="B29" s="116"/>
      <c r="C29" s="118">
        <v>0</v>
      </c>
      <c r="D29" s="113">
        <v>0</v>
      </c>
      <c r="E29" s="166">
        <v>1000</v>
      </c>
      <c r="F29" s="118"/>
      <c r="G29" s="131"/>
      <c r="H29" s="132"/>
      <c r="I29" s="133"/>
      <c r="J29" s="131"/>
      <c r="K29" s="132"/>
      <c r="L29" s="133"/>
      <c r="M29" s="132"/>
      <c r="N29" s="113">
        <f>C29 +(D29*15)</f>
        <v>0</v>
      </c>
      <c r="O29" s="113">
        <v>9.07</v>
      </c>
      <c r="P29" s="113">
        <v>64.8</v>
      </c>
      <c r="Q29" s="113">
        <f t="shared" si="1"/>
        <v>73.87</v>
      </c>
      <c r="R29" s="167">
        <f t="shared" si="2"/>
        <v>73.87</v>
      </c>
      <c r="S29" s="122" t="s">
        <v>81</v>
      </c>
    </row>
    <row r="30" spans="1:19" s="30" customFormat="1" ht="26.25">
      <c r="A30" s="134" t="s">
        <v>107</v>
      </c>
      <c r="B30" s="116"/>
      <c r="C30" s="118">
        <v>0</v>
      </c>
      <c r="D30" s="113">
        <f>82.77-9.07-(10*4.32)</f>
        <v>30.499999999999986</v>
      </c>
      <c r="E30" s="166">
        <v>10000</v>
      </c>
      <c r="F30" s="118">
        <f>5.75+1.5-4.32</f>
        <v>2.9299999999999997</v>
      </c>
      <c r="G30" s="131">
        <v>10001</v>
      </c>
      <c r="H30" s="132"/>
      <c r="I30" s="133"/>
      <c r="J30" s="131"/>
      <c r="K30" s="132"/>
      <c r="L30" s="133"/>
      <c r="M30" s="132"/>
      <c r="N30" s="113">
        <f>C30+D30+(F30*5)</f>
        <v>45.149999999999984</v>
      </c>
      <c r="O30" s="113">
        <v>9.07</v>
      </c>
      <c r="P30" s="113">
        <v>64.8</v>
      </c>
      <c r="Q30" s="113">
        <f t="shared" si="1"/>
        <v>73.87</v>
      </c>
      <c r="R30" s="167">
        <f t="shared" si="2"/>
        <v>119.01999999999998</v>
      </c>
      <c r="S30" s="168" t="s">
        <v>142</v>
      </c>
    </row>
    <row r="31" spans="1:19" s="30" customFormat="1">
      <c r="A31" s="134" t="s">
        <v>151</v>
      </c>
      <c r="B31" s="116"/>
      <c r="C31" s="118">
        <v>1.5</v>
      </c>
      <c r="D31" s="113">
        <v>5</v>
      </c>
      <c r="E31" s="166">
        <v>1000</v>
      </c>
      <c r="F31" s="118">
        <v>1.75</v>
      </c>
      <c r="G31" s="131">
        <v>1001</v>
      </c>
      <c r="H31" s="132"/>
      <c r="I31" s="133"/>
      <c r="J31" s="131"/>
      <c r="K31" s="132"/>
      <c r="L31" s="133"/>
      <c r="M31" s="132"/>
      <c r="N31" s="113">
        <f>C31 + D31+(F31*14)</f>
        <v>31</v>
      </c>
      <c r="O31" s="113">
        <v>9.07</v>
      </c>
      <c r="P31" s="113">
        <v>64.8</v>
      </c>
      <c r="Q31" s="113">
        <f t="shared" si="1"/>
        <v>73.87</v>
      </c>
      <c r="R31" s="167">
        <f t="shared" si="2"/>
        <v>104.87</v>
      </c>
      <c r="S31" s="168" t="s">
        <v>138</v>
      </c>
    </row>
    <row r="32" spans="1:19" s="30" customFormat="1">
      <c r="A32" s="134" t="s">
        <v>152</v>
      </c>
      <c r="B32" s="116"/>
      <c r="C32" s="118">
        <v>1.5</v>
      </c>
      <c r="D32" s="113">
        <v>1.5</v>
      </c>
      <c r="E32" s="166">
        <v>1000</v>
      </c>
      <c r="F32" s="133"/>
      <c r="G32" s="131"/>
      <c r="H32" s="132"/>
      <c r="I32" s="133"/>
      <c r="J32" s="131"/>
      <c r="K32" s="132"/>
      <c r="L32" s="133"/>
      <c r="M32" s="132"/>
      <c r="N32" s="113">
        <f>C32 +(D32*15)</f>
        <v>24</v>
      </c>
      <c r="O32" s="113">
        <v>9.07</v>
      </c>
      <c r="P32" s="113">
        <v>64.8</v>
      </c>
      <c r="Q32" s="113">
        <f t="shared" si="1"/>
        <v>73.87</v>
      </c>
      <c r="R32" s="167">
        <f t="shared" si="2"/>
        <v>97.87</v>
      </c>
      <c r="S32" s="168" t="s">
        <v>136</v>
      </c>
    </row>
    <row r="33" spans="1:19" s="30" customFormat="1" ht="15.75" thickBot="1">
      <c r="A33" s="52" t="s">
        <v>153</v>
      </c>
      <c r="B33" s="136"/>
      <c r="C33" s="137">
        <v>1.5</v>
      </c>
      <c r="D33" s="138">
        <v>3</v>
      </c>
      <c r="E33" s="166">
        <v>1000</v>
      </c>
      <c r="F33" s="140"/>
      <c r="G33" s="141"/>
      <c r="H33" s="142"/>
      <c r="I33" s="140"/>
      <c r="J33" s="141"/>
      <c r="K33" s="142"/>
      <c r="L33" s="140"/>
      <c r="M33" s="142"/>
      <c r="N33" s="113">
        <f>C33 +(D33*15)</f>
        <v>46.5</v>
      </c>
      <c r="O33" s="113">
        <v>9.07</v>
      </c>
      <c r="P33" s="113">
        <v>64.8</v>
      </c>
      <c r="Q33" s="113">
        <f t="shared" si="1"/>
        <v>73.87</v>
      </c>
      <c r="R33" s="167">
        <f t="shared" si="2"/>
        <v>120.37</v>
      </c>
      <c r="S33" s="168" t="s">
        <v>150</v>
      </c>
    </row>
    <row r="34" spans="1:19">
      <c r="A34" s="158"/>
      <c r="B34" s="159"/>
      <c r="C34" s="159"/>
      <c r="D34" s="159"/>
      <c r="E34" s="159"/>
      <c r="F34" s="160"/>
      <c r="G34" s="160"/>
      <c r="H34" s="160"/>
      <c r="I34" s="160"/>
      <c r="J34" s="160"/>
      <c r="K34" s="160"/>
      <c r="L34" s="160"/>
      <c r="M34" s="160"/>
      <c r="N34" s="160"/>
      <c r="O34" s="160"/>
      <c r="P34" s="160"/>
      <c r="Q34" s="160"/>
      <c r="R34" s="161"/>
      <c r="S34" s="83"/>
    </row>
    <row r="35" spans="1:19">
      <c r="A35" s="173" t="s">
        <v>37</v>
      </c>
      <c r="B35" s="143"/>
      <c r="C35" s="160"/>
      <c r="D35" s="160"/>
      <c r="E35" s="160"/>
      <c r="F35" s="160"/>
      <c r="G35" s="160"/>
      <c r="H35" s="160"/>
      <c r="I35" s="160"/>
      <c r="J35" s="160"/>
      <c r="K35" s="160"/>
      <c r="L35" s="160"/>
      <c r="M35" s="160"/>
      <c r="N35" s="160"/>
      <c r="O35" s="160"/>
      <c r="P35" s="160"/>
      <c r="Q35" s="160"/>
      <c r="R35" s="161"/>
      <c r="S35" s="83"/>
    </row>
    <row r="36" spans="1:19">
      <c r="A36" s="161"/>
      <c r="B36" s="160" t="s">
        <v>38</v>
      </c>
      <c r="C36" s="160"/>
      <c r="D36" s="160"/>
      <c r="E36" s="160"/>
      <c r="F36" s="160"/>
      <c r="G36" s="160"/>
      <c r="H36" s="160"/>
      <c r="I36" s="160"/>
      <c r="J36" s="160"/>
      <c r="K36" s="160"/>
      <c r="L36" s="160"/>
      <c r="M36" s="160"/>
      <c r="N36" s="160"/>
      <c r="O36" s="160"/>
      <c r="P36" s="160"/>
      <c r="Q36" s="160"/>
      <c r="R36" s="161"/>
      <c r="S36" s="83"/>
    </row>
    <row r="37" spans="1:19">
      <c r="A37" s="161"/>
      <c r="B37" s="143" t="s">
        <v>221</v>
      </c>
      <c r="C37" s="160"/>
      <c r="D37" s="160"/>
      <c r="E37" s="160"/>
      <c r="F37" s="160"/>
      <c r="G37" s="160"/>
      <c r="H37" s="160"/>
      <c r="I37" s="160"/>
      <c r="J37" s="160"/>
      <c r="K37" s="160"/>
      <c r="L37" s="160"/>
      <c r="M37" s="160"/>
      <c r="N37" s="160"/>
      <c r="O37" s="160"/>
      <c r="P37" s="160"/>
      <c r="Q37" s="160"/>
      <c r="R37" s="161"/>
      <c r="S37" s="83"/>
    </row>
    <row r="38" spans="1:19">
      <c r="A38" s="161"/>
      <c r="B38" s="143" t="s">
        <v>39</v>
      </c>
      <c r="C38" s="160"/>
      <c r="D38" s="160"/>
      <c r="E38" s="160"/>
      <c r="F38" s="160"/>
      <c r="G38" s="160"/>
      <c r="H38" s="160"/>
      <c r="I38" s="160"/>
      <c r="J38" s="160"/>
      <c r="K38" s="160"/>
      <c r="L38" s="160"/>
      <c r="M38" s="160"/>
      <c r="N38" s="160"/>
      <c r="O38" s="160"/>
      <c r="P38" s="160"/>
      <c r="Q38" s="160"/>
      <c r="R38" s="161"/>
      <c r="S38" s="83"/>
    </row>
    <row r="39" spans="1:19">
      <c r="A39" s="161"/>
      <c r="B39" s="82" t="s">
        <v>78</v>
      </c>
      <c r="C39" s="82"/>
      <c r="D39" s="82"/>
      <c r="E39" s="82"/>
      <c r="F39" s="82"/>
      <c r="G39" s="82"/>
      <c r="H39" s="82"/>
      <c r="I39" s="82"/>
      <c r="J39" s="82"/>
      <c r="K39" s="82"/>
      <c r="L39" s="82"/>
      <c r="M39" s="82"/>
      <c r="N39" s="82"/>
      <c r="O39" s="160"/>
      <c r="P39" s="160"/>
      <c r="Q39" s="160"/>
      <c r="R39" s="161"/>
      <c r="S39" s="83"/>
    </row>
    <row r="40" spans="1:19">
      <c r="A40" s="161"/>
      <c r="B40" s="160"/>
      <c r="C40" s="160"/>
      <c r="D40" s="160"/>
      <c r="E40" s="160"/>
      <c r="F40" s="160"/>
      <c r="G40" s="160"/>
      <c r="H40" s="160"/>
      <c r="I40" s="160"/>
      <c r="J40" s="160"/>
      <c r="K40" s="160"/>
      <c r="L40" s="160"/>
      <c r="M40" s="160"/>
      <c r="N40" s="160"/>
      <c r="O40" s="160"/>
      <c r="P40" s="160"/>
      <c r="Q40" s="160"/>
      <c r="R40" s="161"/>
      <c r="S40" s="83"/>
    </row>
  </sheetData>
  <sheetProtection formatCells="0" formatColumns="0" formatRows="0"/>
  <pageMargins left="0.7" right="0.7" top="0.75" bottom="0.75" header="0.3" footer="0.3"/>
  <pageSetup paperSize="17" scale="58"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43"/>
  <sheetViews>
    <sheetView topLeftCell="A31" zoomScale="73" zoomScaleNormal="73" workbookViewId="0">
      <selection sqref="A1:XFD1048576"/>
    </sheetView>
  </sheetViews>
  <sheetFormatPr defaultRowHeight="15"/>
  <cols>
    <col min="1" max="1" width="27.140625" customWidth="1"/>
    <col min="2" max="2" width="9" customWidth="1"/>
    <col min="3" max="3" width="8.42578125" customWidth="1"/>
    <col min="4" max="4" width="7.5703125" customWidth="1"/>
    <col min="5" max="5" width="7.28515625" customWidth="1"/>
    <col min="6" max="6" width="6.42578125" customWidth="1"/>
    <col min="7" max="7" width="7.5703125" customWidth="1"/>
    <col min="8" max="8" width="9.28515625" customWidth="1"/>
    <col min="9" max="9" width="6.42578125" customWidth="1"/>
    <col min="10" max="10" width="9.7109375" customWidth="1"/>
    <col min="11" max="11" width="8.5703125" customWidth="1"/>
    <col min="12" max="12" width="6.42578125" customWidth="1"/>
    <col min="13" max="13" width="8.85546875" customWidth="1"/>
    <col min="14" max="14" width="14.7109375" customWidth="1"/>
    <col min="15" max="15" width="10.7109375" bestFit="1" customWidth="1"/>
    <col min="16" max="16" width="16.42578125" bestFit="1" customWidth="1"/>
    <col min="17" max="17" width="9.85546875" bestFit="1" customWidth="1"/>
    <col min="18" max="18" width="11.42578125" bestFit="1" customWidth="1"/>
    <col min="19" max="19" width="61.5703125" style="26" customWidth="1"/>
    <col min="20" max="22" width="9.140625" style="18"/>
    <col min="23" max="23" width="13.85546875" style="18" customWidth="1"/>
  </cols>
  <sheetData>
    <row r="1" spans="1:23">
      <c r="B1" s="18">
        <v>2013</v>
      </c>
      <c r="C1" s="18" t="s">
        <v>40</v>
      </c>
      <c r="D1" s="18"/>
      <c r="E1" s="18"/>
      <c r="F1" s="18"/>
    </row>
    <row r="2" spans="1:23">
      <c r="B2" s="18"/>
      <c r="C2" s="18" t="s">
        <v>41</v>
      </c>
      <c r="D2" s="18"/>
      <c r="E2" s="18"/>
      <c r="F2" s="18"/>
    </row>
    <row r="3" spans="1:23">
      <c r="B3" s="1" t="s">
        <v>1</v>
      </c>
    </row>
    <row r="4" spans="1:23">
      <c r="C4" s="1" t="s">
        <v>2</v>
      </c>
      <c r="D4" s="1"/>
    </row>
    <row r="5" spans="1:23" ht="15.75" thickBot="1">
      <c r="B5" s="29" t="s">
        <v>77</v>
      </c>
      <c r="C5" s="1"/>
      <c r="D5" s="1"/>
    </row>
    <row r="6" spans="1:23" s="18" customFormat="1" ht="15.75" customHeight="1" thickBot="1">
      <c r="A6" s="53" t="s">
        <v>4</v>
      </c>
      <c r="B6" s="54" t="s">
        <v>5</v>
      </c>
      <c r="C6" s="54"/>
      <c r="D6" s="55" t="s">
        <v>42</v>
      </c>
      <c r="E6" s="56"/>
      <c r="F6" s="57"/>
      <c r="G6" s="58" t="s">
        <v>7</v>
      </c>
      <c r="H6" s="59"/>
      <c r="I6" s="57"/>
      <c r="J6" s="58" t="s">
        <v>8</v>
      </c>
      <c r="K6" s="59"/>
      <c r="L6" s="57" t="s">
        <v>9</v>
      </c>
      <c r="M6" s="60"/>
      <c r="N6" s="61" t="s">
        <v>43</v>
      </c>
      <c r="O6" s="2" t="s">
        <v>11</v>
      </c>
      <c r="P6" s="2" t="s">
        <v>12</v>
      </c>
      <c r="Q6" s="2" t="s">
        <v>13</v>
      </c>
      <c r="R6" s="2" t="s">
        <v>13</v>
      </c>
      <c r="S6" s="62"/>
    </row>
    <row r="7" spans="1:23" s="18" customFormat="1" ht="15.75" thickBot="1">
      <c r="A7" s="63" t="s">
        <v>14</v>
      </c>
      <c r="B7" s="64" t="s">
        <v>15</v>
      </c>
      <c r="C7" s="65" t="s">
        <v>16</v>
      </c>
      <c r="D7" s="66" t="s">
        <v>17</v>
      </c>
      <c r="E7" s="63" t="s">
        <v>18</v>
      </c>
      <c r="F7" s="64" t="s">
        <v>17</v>
      </c>
      <c r="G7" s="67" t="s">
        <v>19</v>
      </c>
      <c r="H7" s="65" t="s">
        <v>20</v>
      </c>
      <c r="I7" s="64" t="s">
        <v>17</v>
      </c>
      <c r="J7" s="67" t="s">
        <v>19</v>
      </c>
      <c r="K7" s="65" t="s">
        <v>20</v>
      </c>
      <c r="L7" s="64" t="s">
        <v>17</v>
      </c>
      <c r="M7" s="68" t="s">
        <v>21</v>
      </c>
      <c r="N7" s="63" t="s">
        <v>22</v>
      </c>
      <c r="O7" s="69" t="s">
        <v>23</v>
      </c>
      <c r="P7" s="69" t="s">
        <v>24</v>
      </c>
      <c r="Q7" s="69" t="s">
        <v>11</v>
      </c>
      <c r="R7" s="69" t="s">
        <v>25</v>
      </c>
      <c r="S7" s="70" t="s">
        <v>3</v>
      </c>
      <c r="T7" s="28"/>
      <c r="U7" s="28"/>
      <c r="V7" s="28"/>
      <c r="W7" s="28"/>
    </row>
    <row r="8" spans="1:23" s="18" customFormat="1" ht="25.5">
      <c r="A8" s="32" t="s">
        <v>66</v>
      </c>
      <c r="B8" s="33"/>
      <c r="C8" s="34">
        <v>0</v>
      </c>
      <c r="D8" s="35">
        <v>1.73</v>
      </c>
      <c r="E8" s="71">
        <v>1000</v>
      </c>
      <c r="F8" s="36"/>
      <c r="G8" s="37"/>
      <c r="H8" s="38"/>
      <c r="I8" s="36"/>
      <c r="J8" s="37"/>
      <c r="K8" s="38"/>
      <c r="L8" s="33"/>
      <c r="M8" s="39"/>
      <c r="N8" s="4">
        <f t="shared" ref="N8:N14" si="0">(C8)+(D8*15)</f>
        <v>25.95</v>
      </c>
      <c r="O8" s="4">
        <v>9.07</v>
      </c>
      <c r="P8" s="4">
        <v>64.8</v>
      </c>
      <c r="Q8" s="4">
        <f>O8+P8</f>
        <v>73.87</v>
      </c>
      <c r="R8" s="4">
        <f>N8+Q8</f>
        <v>99.820000000000007</v>
      </c>
      <c r="S8" s="27" t="s">
        <v>211</v>
      </c>
      <c r="T8" s="25"/>
      <c r="U8" s="25"/>
      <c r="V8" s="25"/>
      <c r="W8" s="25"/>
    </row>
    <row r="9" spans="1:23" s="18" customFormat="1" ht="25.5">
      <c r="A9" s="3" t="s">
        <v>75</v>
      </c>
      <c r="B9" s="7"/>
      <c r="C9" s="21">
        <v>9.9499999999999993</v>
      </c>
      <c r="D9" s="5">
        <v>2.1</v>
      </c>
      <c r="E9" s="24">
        <v>1000</v>
      </c>
      <c r="F9" s="7"/>
      <c r="G9" s="11"/>
      <c r="H9" s="12"/>
      <c r="I9" s="13"/>
      <c r="J9" s="11"/>
      <c r="K9" s="12"/>
      <c r="L9" s="7"/>
      <c r="M9" s="11"/>
      <c r="N9" s="4">
        <f t="shared" si="0"/>
        <v>41.45</v>
      </c>
      <c r="O9" s="4">
        <v>9.07</v>
      </c>
      <c r="P9" s="4">
        <v>64.8</v>
      </c>
      <c r="Q9" s="4">
        <f t="shared" ref="Q9:Q37" si="1">O9+P9</f>
        <v>73.87</v>
      </c>
      <c r="R9" s="4">
        <f t="shared" ref="R9:R37" si="2">N9+Q9</f>
        <v>115.32000000000001</v>
      </c>
      <c r="S9" s="27" t="s">
        <v>131</v>
      </c>
      <c r="T9" s="25"/>
      <c r="U9" s="25"/>
      <c r="V9" s="25"/>
      <c r="W9" s="25"/>
    </row>
    <row r="10" spans="1:23" s="18" customFormat="1" ht="38.25">
      <c r="A10" s="8" t="s">
        <v>44</v>
      </c>
      <c r="B10" s="7"/>
      <c r="C10" s="21">
        <v>2</v>
      </c>
      <c r="D10" s="5">
        <v>2.5</v>
      </c>
      <c r="E10" s="24">
        <v>1000</v>
      </c>
      <c r="F10" s="7" t="s">
        <v>28</v>
      </c>
      <c r="G10" s="11" t="s">
        <v>28</v>
      </c>
      <c r="H10" s="12"/>
      <c r="I10" s="13"/>
      <c r="J10" s="11"/>
      <c r="K10" s="12"/>
      <c r="L10" s="7"/>
      <c r="M10" s="11"/>
      <c r="N10" s="4">
        <f>(C10)+(D10*15)</f>
        <v>39.5</v>
      </c>
      <c r="O10" s="4">
        <v>9.07</v>
      </c>
      <c r="P10" s="4">
        <v>64.8</v>
      </c>
      <c r="Q10" s="4">
        <f t="shared" si="1"/>
        <v>73.87</v>
      </c>
      <c r="R10" s="4">
        <f t="shared" si="2"/>
        <v>113.37</v>
      </c>
      <c r="S10" s="27" t="s">
        <v>94</v>
      </c>
      <c r="T10" s="25"/>
      <c r="U10" s="25"/>
      <c r="V10" s="25"/>
      <c r="W10" s="25"/>
    </row>
    <row r="11" spans="1:23" s="18" customFormat="1">
      <c r="A11" s="3" t="s">
        <v>45</v>
      </c>
      <c r="B11" s="7"/>
      <c r="C11" s="21">
        <v>0</v>
      </c>
      <c r="D11" s="5">
        <v>0</v>
      </c>
      <c r="E11" s="24">
        <v>1000</v>
      </c>
      <c r="F11" s="7"/>
      <c r="G11" s="11"/>
      <c r="H11" s="12"/>
      <c r="I11" s="13"/>
      <c r="J11" s="11"/>
      <c r="K11" s="12"/>
      <c r="L11" s="7"/>
      <c r="M11" s="11"/>
      <c r="N11" s="4">
        <f t="shared" si="0"/>
        <v>0</v>
      </c>
      <c r="O11" s="4">
        <v>9.07</v>
      </c>
      <c r="P11" s="4">
        <v>64.8</v>
      </c>
      <c r="Q11" s="4">
        <f t="shared" si="1"/>
        <v>73.87</v>
      </c>
      <c r="R11" s="4">
        <f t="shared" si="2"/>
        <v>73.87</v>
      </c>
      <c r="S11" s="27" t="s">
        <v>67</v>
      </c>
      <c r="T11" s="25"/>
      <c r="U11" s="25"/>
      <c r="V11" s="25"/>
      <c r="W11" s="25"/>
    </row>
    <row r="12" spans="1:23" s="18" customFormat="1">
      <c r="A12" s="3" t="s">
        <v>46</v>
      </c>
      <c r="B12" s="7"/>
      <c r="C12" s="21">
        <v>0</v>
      </c>
      <c r="D12" s="5">
        <v>0</v>
      </c>
      <c r="E12" s="24">
        <v>1000</v>
      </c>
      <c r="F12" s="7"/>
      <c r="G12" s="11"/>
      <c r="H12" s="12"/>
      <c r="I12" s="13"/>
      <c r="J12" s="11"/>
      <c r="K12" s="12"/>
      <c r="L12" s="7"/>
      <c r="M12" s="11"/>
      <c r="N12" s="4">
        <f t="shared" si="0"/>
        <v>0</v>
      </c>
      <c r="O12" s="4">
        <v>9.07</v>
      </c>
      <c r="P12" s="4">
        <v>64.8</v>
      </c>
      <c r="Q12" s="4">
        <f t="shared" si="1"/>
        <v>73.87</v>
      </c>
      <c r="R12" s="4">
        <f t="shared" si="2"/>
        <v>73.87</v>
      </c>
      <c r="S12" s="27" t="s">
        <v>67</v>
      </c>
      <c r="T12" s="25"/>
      <c r="U12" s="25"/>
      <c r="V12" s="25"/>
      <c r="W12" s="25"/>
    </row>
    <row r="13" spans="1:23" s="18" customFormat="1" ht="25.5">
      <c r="A13" s="3" t="s">
        <v>71</v>
      </c>
      <c r="B13" s="7"/>
      <c r="C13" s="21">
        <v>0</v>
      </c>
      <c r="D13" s="5">
        <f>7.19-4.32</f>
        <v>2.87</v>
      </c>
      <c r="E13" s="24">
        <v>1000</v>
      </c>
      <c r="F13" s="7"/>
      <c r="G13" s="11"/>
      <c r="H13" s="12"/>
      <c r="I13" s="13"/>
      <c r="J13" s="11"/>
      <c r="K13" s="12"/>
      <c r="L13" s="7"/>
      <c r="M13" s="11"/>
      <c r="N13" s="4">
        <f t="shared" si="0"/>
        <v>43.050000000000004</v>
      </c>
      <c r="O13" s="4">
        <v>9.07</v>
      </c>
      <c r="P13" s="4">
        <v>64.8</v>
      </c>
      <c r="Q13" s="4">
        <f t="shared" si="1"/>
        <v>73.87</v>
      </c>
      <c r="R13" s="4">
        <f t="shared" si="2"/>
        <v>116.92000000000002</v>
      </c>
      <c r="S13" s="27" t="s">
        <v>213</v>
      </c>
      <c r="T13" s="25"/>
      <c r="U13" s="25"/>
      <c r="V13" s="25"/>
      <c r="W13" s="25"/>
    </row>
    <row r="14" spans="1:23" s="18" customFormat="1" ht="25.5">
      <c r="A14" s="3" t="s">
        <v>70</v>
      </c>
      <c r="B14" s="7"/>
      <c r="C14" s="21">
        <v>2</v>
      </c>
      <c r="D14" s="5">
        <v>4.3499999999999996</v>
      </c>
      <c r="E14" s="24">
        <v>1000</v>
      </c>
      <c r="F14" s="7" t="s">
        <v>28</v>
      </c>
      <c r="G14" s="11" t="s">
        <v>28</v>
      </c>
      <c r="H14" s="12"/>
      <c r="I14" s="13"/>
      <c r="J14" s="11"/>
      <c r="K14" s="12"/>
      <c r="L14" s="7"/>
      <c r="M14" s="11"/>
      <c r="N14" s="4">
        <f t="shared" si="0"/>
        <v>67.25</v>
      </c>
      <c r="O14" s="4">
        <v>9.07</v>
      </c>
      <c r="P14" s="4">
        <v>64.8</v>
      </c>
      <c r="Q14" s="4">
        <f t="shared" si="1"/>
        <v>73.87</v>
      </c>
      <c r="R14" s="4">
        <f t="shared" si="2"/>
        <v>141.12</v>
      </c>
      <c r="S14" s="27" t="s">
        <v>209</v>
      </c>
      <c r="T14" s="25"/>
      <c r="U14" s="25"/>
      <c r="V14" s="25"/>
      <c r="W14" s="25"/>
    </row>
    <row r="15" spans="1:23" s="18" customFormat="1">
      <c r="A15" s="8" t="s">
        <v>163</v>
      </c>
      <c r="B15" s="7"/>
      <c r="C15" s="21">
        <f>14.5-9.07</f>
        <v>5.43</v>
      </c>
      <c r="D15" s="5">
        <f>36.9-(6*4.32)</f>
        <v>10.979999999999997</v>
      </c>
      <c r="E15" s="24">
        <v>6000</v>
      </c>
      <c r="F15" s="7">
        <f>6.5-4.32</f>
        <v>2.1799999999999997</v>
      </c>
      <c r="G15" s="11">
        <v>6001</v>
      </c>
      <c r="H15" s="12"/>
      <c r="I15" s="13"/>
      <c r="J15" s="11"/>
      <c r="K15" s="12"/>
      <c r="L15" s="7"/>
      <c r="M15" s="11"/>
      <c r="N15" s="19">
        <f>C15+D15+(F15*9)</f>
        <v>36.029999999999994</v>
      </c>
      <c r="O15" s="4">
        <v>9.07</v>
      </c>
      <c r="P15" s="4">
        <v>64.8</v>
      </c>
      <c r="Q15" s="4">
        <f t="shared" si="1"/>
        <v>73.87</v>
      </c>
      <c r="R15" s="4">
        <f t="shared" si="2"/>
        <v>109.9</v>
      </c>
      <c r="S15" s="27" t="s">
        <v>162</v>
      </c>
      <c r="T15" s="25"/>
      <c r="U15" s="25"/>
      <c r="V15" s="25"/>
      <c r="W15" s="25"/>
    </row>
    <row r="16" spans="1:23" s="18" customFormat="1" ht="51">
      <c r="A16" s="3" t="s">
        <v>98</v>
      </c>
      <c r="B16" s="7"/>
      <c r="C16" s="21">
        <f>24.07-9.07</f>
        <v>15</v>
      </c>
      <c r="D16" s="5">
        <v>2.35</v>
      </c>
      <c r="E16" s="24">
        <v>1000</v>
      </c>
      <c r="F16" s="7" t="s">
        <v>28</v>
      </c>
      <c r="G16" s="72" t="s">
        <v>28</v>
      </c>
      <c r="H16" s="73" t="s">
        <v>28</v>
      </c>
      <c r="I16" s="13" t="s">
        <v>28</v>
      </c>
      <c r="J16" s="72" t="s">
        <v>28</v>
      </c>
      <c r="K16" s="73" t="s">
        <v>28</v>
      </c>
      <c r="L16" s="7" t="s">
        <v>28</v>
      </c>
      <c r="M16" s="72" t="s">
        <v>28</v>
      </c>
      <c r="N16" s="4">
        <f>(C16)+(D16*15)</f>
        <v>50.25</v>
      </c>
      <c r="O16" s="4">
        <v>9.07</v>
      </c>
      <c r="P16" s="4">
        <v>64.8</v>
      </c>
      <c r="Q16" s="4">
        <f t="shared" si="1"/>
        <v>73.87</v>
      </c>
      <c r="R16" s="4">
        <f t="shared" si="2"/>
        <v>124.12</v>
      </c>
      <c r="S16" s="27" t="s">
        <v>97</v>
      </c>
      <c r="T16" s="25"/>
      <c r="U16" s="25"/>
      <c r="V16" s="25"/>
      <c r="W16" s="25"/>
    </row>
    <row r="17" spans="1:23" s="18" customFormat="1" ht="38.25">
      <c r="A17" s="74" t="s">
        <v>101</v>
      </c>
      <c r="B17" s="7"/>
      <c r="C17" s="5">
        <f>(19.5-9.07)+63</f>
        <v>73.430000000000007</v>
      </c>
      <c r="D17" s="4">
        <f>5.64-4.32</f>
        <v>1.3199999999999994</v>
      </c>
      <c r="E17" s="24">
        <v>1000</v>
      </c>
      <c r="F17" s="7"/>
      <c r="G17" s="11"/>
      <c r="H17" s="12"/>
      <c r="I17" s="13"/>
      <c r="J17" s="11"/>
      <c r="K17" s="12"/>
      <c r="L17" s="7"/>
      <c r="M17" s="11"/>
      <c r="N17" s="4">
        <f>(C17)+(D17*15)</f>
        <v>93.22999999999999</v>
      </c>
      <c r="O17" s="4">
        <v>9.07</v>
      </c>
      <c r="P17" s="4">
        <v>64.8</v>
      </c>
      <c r="Q17" s="4">
        <f t="shared" si="1"/>
        <v>73.87</v>
      </c>
      <c r="R17" s="4">
        <f t="shared" si="2"/>
        <v>167.1</v>
      </c>
      <c r="S17" s="27" t="s">
        <v>47</v>
      </c>
      <c r="T17" s="25"/>
      <c r="U17" s="25"/>
      <c r="V17" s="25"/>
      <c r="W17" s="25"/>
    </row>
    <row r="18" spans="1:23" s="18" customFormat="1" ht="38.25">
      <c r="A18" s="74" t="s">
        <v>100</v>
      </c>
      <c r="B18" s="7"/>
      <c r="C18" s="5">
        <f>(19.5-9.07)+27</f>
        <v>37.43</v>
      </c>
      <c r="D18" s="4">
        <f>5.64-4.32</f>
        <v>1.3199999999999994</v>
      </c>
      <c r="E18" s="24">
        <v>1000</v>
      </c>
      <c r="F18" s="7"/>
      <c r="G18" s="11"/>
      <c r="H18" s="12"/>
      <c r="I18" s="13"/>
      <c r="J18" s="11"/>
      <c r="K18" s="12"/>
      <c r="L18" s="7"/>
      <c r="M18" s="11"/>
      <c r="N18" s="4">
        <f>(C18)+(D18*15)</f>
        <v>57.22999999999999</v>
      </c>
      <c r="O18" s="4">
        <v>9.07</v>
      </c>
      <c r="P18" s="4">
        <v>64.8</v>
      </c>
      <c r="Q18" s="4">
        <f t="shared" si="1"/>
        <v>73.87</v>
      </c>
      <c r="R18" s="4">
        <f t="shared" si="2"/>
        <v>131.1</v>
      </c>
      <c r="S18" s="27" t="s">
        <v>48</v>
      </c>
      <c r="T18" s="25"/>
      <c r="U18" s="25"/>
      <c r="V18" s="25"/>
      <c r="W18" s="25"/>
    </row>
    <row r="19" spans="1:23" s="18" customFormat="1" ht="63.75">
      <c r="A19" s="75" t="s">
        <v>63</v>
      </c>
      <c r="B19" s="40"/>
      <c r="C19" s="41">
        <v>0</v>
      </c>
      <c r="D19" s="42">
        <v>12.5</v>
      </c>
      <c r="E19" s="76">
        <v>5000</v>
      </c>
      <c r="F19" s="40">
        <v>2.5</v>
      </c>
      <c r="G19" s="43">
        <v>5001</v>
      </c>
      <c r="H19" s="44"/>
      <c r="I19" s="45"/>
      <c r="J19" s="43"/>
      <c r="K19" s="44"/>
      <c r="L19" s="40"/>
      <c r="M19" s="43"/>
      <c r="N19" s="19">
        <f>C19+D19+(F19*10)</f>
        <v>37.5</v>
      </c>
      <c r="O19" s="4">
        <v>9.07</v>
      </c>
      <c r="P19" s="4">
        <v>64.8</v>
      </c>
      <c r="Q19" s="4">
        <f t="shared" si="1"/>
        <v>73.87</v>
      </c>
      <c r="R19" s="4">
        <f t="shared" si="2"/>
        <v>111.37</v>
      </c>
      <c r="S19" s="27" t="s">
        <v>109</v>
      </c>
      <c r="T19" s="25"/>
      <c r="U19" s="25"/>
      <c r="V19" s="25"/>
      <c r="W19" s="25"/>
    </row>
    <row r="20" spans="1:23" s="18" customFormat="1" ht="51">
      <c r="A20" s="6" t="s">
        <v>72</v>
      </c>
      <c r="B20" s="7"/>
      <c r="C20" s="5">
        <v>77</v>
      </c>
      <c r="D20" s="4">
        <v>0.75</v>
      </c>
      <c r="E20" s="24">
        <v>1000</v>
      </c>
      <c r="F20" s="7"/>
      <c r="G20" s="11"/>
      <c r="H20" s="10"/>
      <c r="I20" s="13"/>
      <c r="J20" s="11"/>
      <c r="K20" s="10"/>
      <c r="L20" s="7"/>
      <c r="M20" s="10"/>
      <c r="N20" s="4">
        <f>(C20)+(D20*15)</f>
        <v>88.25</v>
      </c>
      <c r="O20" s="4">
        <v>9.07</v>
      </c>
      <c r="P20" s="4">
        <v>64.8</v>
      </c>
      <c r="Q20" s="4">
        <f t="shared" si="1"/>
        <v>73.87</v>
      </c>
      <c r="R20" s="4">
        <f t="shared" si="2"/>
        <v>162.12</v>
      </c>
      <c r="S20" s="27" t="s">
        <v>121</v>
      </c>
      <c r="T20" s="25"/>
      <c r="U20" s="25"/>
      <c r="V20" s="25"/>
      <c r="W20" s="25"/>
    </row>
    <row r="21" spans="1:23" s="18" customFormat="1" ht="63.75">
      <c r="A21" s="6" t="s">
        <v>125</v>
      </c>
      <c r="B21" s="7"/>
      <c r="C21" s="5">
        <v>50</v>
      </c>
      <c r="D21" s="4">
        <v>0.15</v>
      </c>
      <c r="E21" s="24">
        <v>1000</v>
      </c>
      <c r="F21" s="7"/>
      <c r="G21" s="11"/>
      <c r="H21" s="10"/>
      <c r="I21" s="13"/>
      <c r="J21" s="11"/>
      <c r="K21" s="10"/>
      <c r="L21" s="7"/>
      <c r="M21" s="10"/>
      <c r="N21" s="4">
        <f>(C21)+(D21*15)</f>
        <v>52.25</v>
      </c>
      <c r="O21" s="4">
        <v>9.07</v>
      </c>
      <c r="P21" s="4">
        <v>64.8</v>
      </c>
      <c r="Q21" s="4">
        <f t="shared" si="1"/>
        <v>73.87</v>
      </c>
      <c r="R21" s="4">
        <f t="shared" si="2"/>
        <v>126.12</v>
      </c>
      <c r="S21" s="27" t="s">
        <v>122</v>
      </c>
      <c r="T21" s="25"/>
      <c r="U21" s="25"/>
      <c r="V21" s="25"/>
      <c r="W21" s="25"/>
    </row>
    <row r="22" spans="1:23" s="18" customFormat="1" ht="51">
      <c r="A22" s="6" t="s">
        <v>73</v>
      </c>
      <c r="B22" s="7"/>
      <c r="C22" s="5">
        <v>165</v>
      </c>
      <c r="D22" s="4">
        <v>0.75</v>
      </c>
      <c r="E22" s="24">
        <v>1000</v>
      </c>
      <c r="F22" s="7"/>
      <c r="G22" s="11"/>
      <c r="H22" s="10"/>
      <c r="I22" s="13"/>
      <c r="J22" s="11"/>
      <c r="K22" s="10"/>
      <c r="L22" s="7"/>
      <c r="M22" s="10"/>
      <c r="N22" s="4">
        <f>(C22)+(D22*15)</f>
        <v>176.25</v>
      </c>
      <c r="O22" s="4">
        <v>9.07</v>
      </c>
      <c r="P22" s="4">
        <v>64.8</v>
      </c>
      <c r="Q22" s="4">
        <f t="shared" si="1"/>
        <v>73.87</v>
      </c>
      <c r="R22" s="4">
        <f t="shared" si="2"/>
        <v>250.12</v>
      </c>
      <c r="S22" s="27" t="s">
        <v>123</v>
      </c>
      <c r="T22" s="25"/>
      <c r="U22" s="25"/>
      <c r="V22" s="25"/>
      <c r="W22" s="25"/>
    </row>
    <row r="23" spans="1:23" s="18" customFormat="1" ht="51">
      <c r="A23" s="6" t="s">
        <v>74</v>
      </c>
      <c r="B23" s="7"/>
      <c r="C23" s="5">
        <v>0</v>
      </c>
      <c r="D23" s="4">
        <v>0.75</v>
      </c>
      <c r="E23" s="24">
        <v>1000</v>
      </c>
      <c r="F23" s="7"/>
      <c r="G23" s="11"/>
      <c r="H23" s="10"/>
      <c r="I23" s="13"/>
      <c r="J23" s="11"/>
      <c r="K23" s="10"/>
      <c r="L23" s="7"/>
      <c r="M23" s="10"/>
      <c r="N23" s="4">
        <f>(C23)+(D23*15)</f>
        <v>11.25</v>
      </c>
      <c r="O23" s="4">
        <v>9.07</v>
      </c>
      <c r="P23" s="4">
        <v>64.8</v>
      </c>
      <c r="Q23" s="4">
        <f>O23+P23</f>
        <v>73.87</v>
      </c>
      <c r="R23" s="4">
        <f>N23+Q23</f>
        <v>85.12</v>
      </c>
      <c r="S23" s="27" t="s">
        <v>124</v>
      </c>
      <c r="T23" s="25"/>
      <c r="U23" s="25"/>
      <c r="V23" s="25"/>
      <c r="W23" s="25"/>
    </row>
    <row r="24" spans="1:23" s="18" customFormat="1" ht="51">
      <c r="A24" s="8" t="s">
        <v>76</v>
      </c>
      <c r="B24" s="7"/>
      <c r="C24" s="21">
        <v>2</v>
      </c>
      <c r="D24" s="5">
        <v>4.3499999999999996</v>
      </c>
      <c r="E24" s="24">
        <v>1000</v>
      </c>
      <c r="F24" s="7"/>
      <c r="G24" s="15"/>
      <c r="H24" s="16"/>
      <c r="I24" s="14"/>
      <c r="J24" s="15"/>
      <c r="K24" s="16"/>
      <c r="L24" s="14"/>
      <c r="M24" s="16"/>
      <c r="N24" s="4">
        <f t="shared" ref="N24:N25" si="3">(C24)+(D24*15)</f>
        <v>67.25</v>
      </c>
      <c r="O24" s="4">
        <v>9.07</v>
      </c>
      <c r="P24" s="4">
        <v>64.8</v>
      </c>
      <c r="Q24" s="4">
        <f t="shared" si="1"/>
        <v>73.87</v>
      </c>
      <c r="R24" s="4">
        <f t="shared" si="2"/>
        <v>141.12</v>
      </c>
      <c r="S24" s="27" t="s">
        <v>132</v>
      </c>
      <c r="T24" s="25"/>
      <c r="U24" s="25"/>
      <c r="V24" s="25"/>
      <c r="W24" s="25"/>
    </row>
    <row r="25" spans="1:23" s="18" customFormat="1" ht="51">
      <c r="A25" s="8" t="s">
        <v>99</v>
      </c>
      <c r="B25" s="7"/>
      <c r="C25" s="5">
        <f>19.5-9.07</f>
        <v>10.43</v>
      </c>
      <c r="D25" s="4">
        <f>5.8-4.32</f>
        <v>1.4799999999999995</v>
      </c>
      <c r="E25" s="24">
        <v>1000</v>
      </c>
      <c r="F25" s="7"/>
      <c r="G25" s="15"/>
      <c r="H25" s="16"/>
      <c r="I25" s="14"/>
      <c r="J25" s="15"/>
      <c r="K25" s="16"/>
      <c r="L25" s="14"/>
      <c r="M25" s="16"/>
      <c r="N25" s="4">
        <f t="shared" si="3"/>
        <v>32.629999999999995</v>
      </c>
      <c r="O25" s="4">
        <v>9.07</v>
      </c>
      <c r="P25" s="4">
        <v>64.8</v>
      </c>
      <c r="Q25" s="4">
        <f t="shared" si="1"/>
        <v>73.87</v>
      </c>
      <c r="R25" s="4">
        <f t="shared" si="2"/>
        <v>106.5</v>
      </c>
      <c r="S25" s="27" t="s">
        <v>212</v>
      </c>
      <c r="T25" s="25"/>
      <c r="U25" s="25"/>
      <c r="V25" s="25"/>
      <c r="W25" s="25"/>
    </row>
    <row r="26" spans="1:23" s="18" customFormat="1" ht="25.5">
      <c r="A26" s="8" t="s">
        <v>64</v>
      </c>
      <c r="B26" s="7"/>
      <c r="C26" s="41">
        <v>0</v>
      </c>
      <c r="D26" s="42">
        <v>12.5</v>
      </c>
      <c r="E26" s="76">
        <v>5000</v>
      </c>
      <c r="F26" s="40">
        <v>2.5</v>
      </c>
      <c r="G26" s="43">
        <v>5001</v>
      </c>
      <c r="H26" s="16"/>
      <c r="I26" s="14"/>
      <c r="J26" s="15"/>
      <c r="K26" s="16"/>
      <c r="L26" s="14"/>
      <c r="M26" s="16"/>
      <c r="N26" s="19">
        <f>C26+D26+(F26*10)</f>
        <v>37.5</v>
      </c>
      <c r="O26" s="4">
        <v>9.07</v>
      </c>
      <c r="P26" s="4">
        <v>64.8</v>
      </c>
      <c r="Q26" s="4">
        <f t="shared" si="1"/>
        <v>73.87</v>
      </c>
      <c r="R26" s="4">
        <f t="shared" si="2"/>
        <v>111.37</v>
      </c>
      <c r="S26" s="27" t="s">
        <v>110</v>
      </c>
      <c r="T26" s="25"/>
      <c r="U26" s="25"/>
      <c r="V26" s="25"/>
      <c r="W26" s="25"/>
    </row>
    <row r="27" spans="1:23" s="18" customFormat="1" ht="51">
      <c r="A27" s="3" t="s">
        <v>119</v>
      </c>
      <c r="B27" s="7"/>
      <c r="C27" s="5">
        <v>0</v>
      </c>
      <c r="D27" s="4">
        <f>20.5-9.07-(3*4.32)</f>
        <v>-1.5300000000000011</v>
      </c>
      <c r="E27" s="24">
        <v>3000</v>
      </c>
      <c r="F27" s="7">
        <f>12.1-4.32</f>
        <v>7.7799999999999994</v>
      </c>
      <c r="G27" s="15">
        <v>3001</v>
      </c>
      <c r="H27" s="16"/>
      <c r="I27" s="14"/>
      <c r="J27" s="15"/>
      <c r="K27" s="16"/>
      <c r="L27" s="14"/>
      <c r="M27" s="16"/>
      <c r="N27" s="19">
        <f>C27+D27+(F27*12)</f>
        <v>91.829999999999984</v>
      </c>
      <c r="O27" s="4">
        <v>9.07</v>
      </c>
      <c r="P27" s="4">
        <v>64.8</v>
      </c>
      <c r="Q27" s="4">
        <f t="shared" si="1"/>
        <v>73.87</v>
      </c>
      <c r="R27" s="4">
        <f t="shared" si="2"/>
        <v>165.7</v>
      </c>
      <c r="S27" s="27" t="s">
        <v>219</v>
      </c>
      <c r="T27" s="25"/>
      <c r="U27" s="25"/>
      <c r="V27" s="25"/>
      <c r="W27" s="25"/>
    </row>
    <row r="28" spans="1:23" s="18" customFormat="1">
      <c r="A28" s="8" t="s">
        <v>165</v>
      </c>
      <c r="B28" s="7"/>
      <c r="C28" s="5">
        <v>5.15</v>
      </c>
      <c r="D28" s="4">
        <v>1.5</v>
      </c>
      <c r="E28" s="24">
        <v>1000</v>
      </c>
      <c r="F28" s="7"/>
      <c r="G28" s="15"/>
      <c r="H28" s="16"/>
      <c r="I28" s="14"/>
      <c r="J28" s="15"/>
      <c r="K28" s="16"/>
      <c r="L28" s="14"/>
      <c r="M28" s="16"/>
      <c r="N28" s="4">
        <f>(C28)+(D28*15)</f>
        <v>27.65</v>
      </c>
      <c r="O28" s="4">
        <v>9.07</v>
      </c>
      <c r="P28" s="4">
        <v>64.8</v>
      </c>
      <c r="Q28" s="4">
        <f t="shared" si="1"/>
        <v>73.87</v>
      </c>
      <c r="R28" s="4">
        <f t="shared" si="2"/>
        <v>101.52000000000001</v>
      </c>
      <c r="S28" s="27" t="s">
        <v>164</v>
      </c>
      <c r="T28" s="25"/>
      <c r="U28" s="25"/>
      <c r="V28" s="25"/>
      <c r="W28" s="25"/>
    </row>
    <row r="29" spans="1:23" s="18" customFormat="1">
      <c r="A29" s="3" t="s">
        <v>206</v>
      </c>
      <c r="B29" s="7"/>
      <c r="C29" s="5">
        <v>0</v>
      </c>
      <c r="D29" s="4">
        <f>84-9.07-(10*4.32)</f>
        <v>31.730000000000004</v>
      </c>
      <c r="E29" s="24">
        <v>10000</v>
      </c>
      <c r="F29" s="7">
        <f>6.05-4.32</f>
        <v>1.7299999999999995</v>
      </c>
      <c r="G29" s="15">
        <v>10001</v>
      </c>
      <c r="H29" s="16">
        <v>50000</v>
      </c>
      <c r="I29" s="7">
        <f>5.48-4.32</f>
        <v>1.1600000000000001</v>
      </c>
      <c r="J29" s="15">
        <v>50001</v>
      </c>
      <c r="K29" s="16">
        <v>75000</v>
      </c>
      <c r="L29" s="14">
        <f>4.69-4.32</f>
        <v>0.37000000000000011</v>
      </c>
      <c r="M29" s="15">
        <v>75001</v>
      </c>
      <c r="N29" s="4">
        <f>D29+(F29*5)</f>
        <v>40.380000000000003</v>
      </c>
      <c r="O29" s="4">
        <v>9.07</v>
      </c>
      <c r="P29" s="4">
        <v>64.8</v>
      </c>
      <c r="Q29" s="4">
        <f t="shared" si="1"/>
        <v>73.87</v>
      </c>
      <c r="R29" s="4">
        <f t="shared" si="2"/>
        <v>114.25</v>
      </c>
      <c r="S29" s="27" t="s">
        <v>205</v>
      </c>
      <c r="T29" s="25"/>
      <c r="U29" s="25"/>
      <c r="V29" s="25"/>
      <c r="W29" s="25"/>
    </row>
    <row r="30" spans="1:23" s="18" customFormat="1" ht="77.25">
      <c r="A30" s="3" t="s">
        <v>33</v>
      </c>
      <c r="B30" s="7">
        <v>0</v>
      </c>
      <c r="C30" s="5"/>
      <c r="D30" s="4">
        <v>3.02</v>
      </c>
      <c r="E30" s="24">
        <v>1000</v>
      </c>
      <c r="F30" s="7"/>
      <c r="G30" s="15"/>
      <c r="H30" s="16"/>
      <c r="I30" s="14"/>
      <c r="J30" s="15"/>
      <c r="K30" s="16"/>
      <c r="L30" s="14"/>
      <c r="M30" s="16"/>
      <c r="N30" s="4">
        <f>(B30*3)+(D30*15)</f>
        <v>45.3</v>
      </c>
      <c r="O30" s="4">
        <v>9.07</v>
      </c>
      <c r="P30" s="4">
        <v>64.8</v>
      </c>
      <c r="Q30" s="4">
        <f t="shared" si="1"/>
        <v>73.87</v>
      </c>
      <c r="R30" s="4">
        <f t="shared" si="2"/>
        <v>119.17</v>
      </c>
      <c r="S30" s="20" t="s">
        <v>82</v>
      </c>
      <c r="T30" s="25"/>
      <c r="U30" s="25"/>
      <c r="V30" s="25"/>
      <c r="W30" s="25"/>
    </row>
    <row r="31" spans="1:23" s="18" customFormat="1" ht="51">
      <c r="A31" s="8" t="s">
        <v>68</v>
      </c>
      <c r="B31" s="7"/>
      <c r="C31" s="5">
        <v>9</v>
      </c>
      <c r="D31" s="4">
        <f>4*(5.49-4.32)</f>
        <v>4.68</v>
      </c>
      <c r="E31" s="24">
        <v>4000</v>
      </c>
      <c r="F31" s="7">
        <f>5.49-4.32</f>
        <v>1.17</v>
      </c>
      <c r="G31" s="15">
        <v>4001</v>
      </c>
      <c r="H31" s="16"/>
      <c r="I31" s="14"/>
      <c r="J31" s="15"/>
      <c r="K31" s="16"/>
      <c r="L31" s="14"/>
      <c r="M31" s="16"/>
      <c r="N31" s="19">
        <f>C31+D31+(F31*11)</f>
        <v>26.549999999999997</v>
      </c>
      <c r="O31" s="4">
        <v>9.07</v>
      </c>
      <c r="P31" s="4">
        <v>64.8</v>
      </c>
      <c r="Q31" s="4">
        <f t="shared" si="1"/>
        <v>73.87</v>
      </c>
      <c r="R31" s="4">
        <f t="shared" si="2"/>
        <v>100.42</v>
      </c>
      <c r="S31" s="27" t="s">
        <v>112</v>
      </c>
      <c r="T31" s="25"/>
      <c r="U31" s="25"/>
      <c r="V31" s="25"/>
      <c r="W31" s="25"/>
    </row>
    <row r="32" spans="1:23" s="18" customFormat="1" ht="63.75">
      <c r="A32" s="8" t="s">
        <v>69</v>
      </c>
      <c r="B32" s="7"/>
      <c r="C32" s="5">
        <v>10</v>
      </c>
      <c r="D32" s="4">
        <f>4*(5.49-4.32)+(4*2.5)</f>
        <v>14.68</v>
      </c>
      <c r="E32" s="24">
        <v>4000</v>
      </c>
      <c r="F32" s="7">
        <f>(5.49-4.32)+2.5</f>
        <v>3.67</v>
      </c>
      <c r="G32" s="15">
        <v>4001</v>
      </c>
      <c r="H32" s="16"/>
      <c r="I32" s="14"/>
      <c r="J32" s="15"/>
      <c r="K32" s="16"/>
      <c r="L32" s="14"/>
      <c r="M32" s="16"/>
      <c r="N32" s="19">
        <f>C32+D32+(F32*11)</f>
        <v>65.05</v>
      </c>
      <c r="O32" s="4">
        <v>9.07</v>
      </c>
      <c r="P32" s="4">
        <v>64.8</v>
      </c>
      <c r="Q32" s="4">
        <f t="shared" si="1"/>
        <v>73.87</v>
      </c>
      <c r="R32" s="4">
        <f t="shared" si="2"/>
        <v>138.92000000000002</v>
      </c>
      <c r="S32" s="27" t="s">
        <v>111</v>
      </c>
      <c r="T32" s="25"/>
      <c r="U32" s="25"/>
      <c r="V32" s="25"/>
      <c r="W32" s="25"/>
    </row>
    <row r="33" spans="1:23" s="18" customFormat="1" ht="39">
      <c r="A33" s="3" t="s">
        <v>118</v>
      </c>
      <c r="B33" s="7">
        <v>4.5</v>
      </c>
      <c r="C33" s="5">
        <v>0</v>
      </c>
      <c r="D33" s="4">
        <f>12*4</f>
        <v>48</v>
      </c>
      <c r="E33" s="24">
        <v>4000</v>
      </c>
      <c r="F33" s="7">
        <v>3</v>
      </c>
      <c r="G33" s="15">
        <v>4001</v>
      </c>
      <c r="H33" s="16"/>
      <c r="I33" s="14"/>
      <c r="J33" s="15"/>
      <c r="K33" s="16"/>
      <c r="L33" s="14"/>
      <c r="M33" s="16"/>
      <c r="N33" s="19">
        <f>B33+D33+(F33*11)</f>
        <v>85.5</v>
      </c>
      <c r="O33" s="4">
        <v>9.07</v>
      </c>
      <c r="P33" s="4">
        <v>64.8</v>
      </c>
      <c r="Q33" s="4">
        <f t="shared" si="1"/>
        <v>73.87</v>
      </c>
      <c r="R33" s="4">
        <f t="shared" si="2"/>
        <v>159.37</v>
      </c>
      <c r="S33" s="20" t="s">
        <v>168</v>
      </c>
      <c r="T33" s="25"/>
      <c r="U33" s="25"/>
      <c r="V33" s="25"/>
      <c r="W33" s="25"/>
    </row>
    <row r="34" spans="1:23" s="18" customFormat="1">
      <c r="A34" s="3" t="s">
        <v>49</v>
      </c>
      <c r="B34" s="7"/>
      <c r="C34" s="5">
        <v>0.41</v>
      </c>
      <c r="D34" s="4">
        <v>2</v>
      </c>
      <c r="E34" s="24">
        <v>1000</v>
      </c>
      <c r="F34" s="7" t="s">
        <v>28</v>
      </c>
      <c r="G34" s="15" t="s">
        <v>28</v>
      </c>
      <c r="H34" s="16"/>
      <c r="I34" s="14"/>
      <c r="J34" s="15"/>
      <c r="K34" s="16"/>
      <c r="L34" s="14"/>
      <c r="M34" s="16"/>
      <c r="N34" s="4">
        <f>C34+(D34*15)</f>
        <v>30.41</v>
      </c>
      <c r="O34" s="4">
        <v>9.07</v>
      </c>
      <c r="P34" s="4">
        <v>64.8</v>
      </c>
      <c r="Q34" s="4">
        <f t="shared" si="1"/>
        <v>73.87</v>
      </c>
      <c r="R34" s="4">
        <f t="shared" si="2"/>
        <v>104.28</v>
      </c>
      <c r="S34" s="27" t="s">
        <v>217</v>
      </c>
      <c r="T34" s="25"/>
      <c r="U34" s="25"/>
      <c r="V34" s="25"/>
      <c r="W34" s="25"/>
    </row>
    <row r="35" spans="1:23" s="18" customFormat="1">
      <c r="A35" s="8" t="s">
        <v>92</v>
      </c>
      <c r="B35" s="7"/>
      <c r="C35" s="41">
        <v>0</v>
      </c>
      <c r="D35" s="42">
        <v>8.5</v>
      </c>
      <c r="E35" s="76">
        <v>3000</v>
      </c>
      <c r="F35" s="40">
        <v>2.5</v>
      </c>
      <c r="G35" s="43">
        <v>3001</v>
      </c>
      <c r="H35" s="16"/>
      <c r="I35" s="14"/>
      <c r="J35" s="15"/>
      <c r="K35" s="16"/>
      <c r="L35" s="14"/>
      <c r="M35" s="16"/>
      <c r="N35" s="19">
        <f>C35+D35+(F35*12)</f>
        <v>38.5</v>
      </c>
      <c r="O35" s="4">
        <v>9.07</v>
      </c>
      <c r="P35" s="4">
        <v>64.8</v>
      </c>
      <c r="Q35" s="4">
        <f t="shared" si="1"/>
        <v>73.87</v>
      </c>
      <c r="R35" s="4">
        <f t="shared" si="2"/>
        <v>112.37</v>
      </c>
      <c r="S35" s="27" t="s">
        <v>217</v>
      </c>
      <c r="T35" s="25"/>
      <c r="U35" s="25"/>
      <c r="V35" s="25"/>
      <c r="W35" s="25"/>
    </row>
    <row r="36" spans="1:23" s="18" customFormat="1" ht="76.5">
      <c r="A36" s="8" t="s">
        <v>50</v>
      </c>
      <c r="B36" s="7"/>
      <c r="C36" s="5">
        <v>0</v>
      </c>
      <c r="D36" s="4">
        <f>27-(4*4.32)</f>
        <v>9.7199999999999989</v>
      </c>
      <c r="E36" s="24">
        <v>4000</v>
      </c>
      <c r="F36" s="7">
        <v>2.33</v>
      </c>
      <c r="G36" s="15">
        <v>4001</v>
      </c>
      <c r="H36" s="16"/>
      <c r="I36" s="14"/>
      <c r="J36" s="15"/>
      <c r="K36" s="16"/>
      <c r="L36" s="14"/>
      <c r="M36" s="16"/>
      <c r="N36" s="4">
        <f>(C36)+D36+(F36*11)</f>
        <v>35.35</v>
      </c>
      <c r="O36" s="4">
        <v>9.07</v>
      </c>
      <c r="P36" s="4">
        <v>64.8</v>
      </c>
      <c r="Q36" s="4">
        <f t="shared" si="1"/>
        <v>73.87</v>
      </c>
      <c r="R36" s="4">
        <f t="shared" si="2"/>
        <v>109.22</v>
      </c>
      <c r="S36" s="27" t="s">
        <v>167</v>
      </c>
      <c r="T36" s="25"/>
      <c r="U36" s="25"/>
      <c r="V36" s="25"/>
      <c r="W36" s="25"/>
    </row>
    <row r="37" spans="1:23" s="18" customFormat="1" ht="15.75" thickBot="1">
      <c r="A37" s="77" t="s">
        <v>65</v>
      </c>
      <c r="B37" s="17"/>
      <c r="C37" s="22">
        <v>39.43</v>
      </c>
      <c r="D37" s="23">
        <v>3.99</v>
      </c>
      <c r="E37" s="78">
        <v>1000</v>
      </c>
      <c r="F37" s="17"/>
      <c r="G37" s="47"/>
      <c r="H37" s="48"/>
      <c r="I37" s="46"/>
      <c r="J37" s="47"/>
      <c r="K37" s="48"/>
      <c r="L37" s="46"/>
      <c r="M37" s="48"/>
      <c r="N37" s="4">
        <f>(C37)+(D37*15)</f>
        <v>99.28</v>
      </c>
      <c r="O37" s="4">
        <v>9.07</v>
      </c>
      <c r="P37" s="4">
        <v>64.8</v>
      </c>
      <c r="Q37" s="4">
        <f t="shared" si="1"/>
        <v>73.87</v>
      </c>
      <c r="R37" s="4">
        <f t="shared" si="2"/>
        <v>173.15</v>
      </c>
      <c r="S37" s="27" t="s">
        <v>166</v>
      </c>
      <c r="T37" s="25"/>
      <c r="U37" s="25"/>
      <c r="V37" s="25"/>
      <c r="W37" s="25"/>
    </row>
    <row r="38" spans="1:23" s="18" customFormat="1">
      <c r="O38" s="18" t="s">
        <v>28</v>
      </c>
      <c r="P38" s="18" t="s">
        <v>28</v>
      </c>
      <c r="S38" s="62"/>
    </row>
    <row r="39" spans="1:23" s="18" customFormat="1">
      <c r="A39" s="79" t="s">
        <v>37</v>
      </c>
      <c r="B39" s="9"/>
      <c r="S39" s="62"/>
    </row>
    <row r="40" spans="1:23" s="18" customFormat="1">
      <c r="B40" s="18" t="s">
        <v>51</v>
      </c>
      <c r="S40" s="62"/>
    </row>
    <row r="41" spans="1:23" s="18" customFormat="1">
      <c r="B41" s="18" t="s">
        <v>207</v>
      </c>
      <c r="S41" s="62"/>
    </row>
    <row r="42" spans="1:23" s="18" customFormat="1">
      <c r="B42" s="18" t="s">
        <v>204</v>
      </c>
      <c r="S42" s="62"/>
    </row>
    <row r="43" spans="1:23" s="18" customFormat="1">
      <c r="S43" s="62"/>
    </row>
  </sheetData>
  <sheetProtection formatCells="0" formatColumns="0" formatRows="0"/>
  <pageMargins left="0.7" right="0.7" top="0.75" bottom="0.75" header="0.3" footer="0.3"/>
  <pageSetup paperSize="17" scale="80" fitToHeight="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49"/>
  <sheetViews>
    <sheetView zoomScale="74" zoomScaleNormal="74" workbookViewId="0">
      <selection activeCell="L51" sqref="L51"/>
    </sheetView>
  </sheetViews>
  <sheetFormatPr defaultRowHeight="15"/>
  <cols>
    <col min="1" max="1" width="19.42578125" style="81" bestFit="1" customWidth="1"/>
    <col min="2" max="2" width="9" style="81" customWidth="1"/>
    <col min="3" max="3" width="9.28515625" style="81" bestFit="1" customWidth="1"/>
    <col min="4" max="4" width="9" style="81" customWidth="1"/>
    <col min="5" max="5" width="7.28515625" style="81" customWidth="1"/>
    <col min="6" max="7" width="6.42578125" style="81" customWidth="1"/>
    <col min="8" max="8" width="7.140625" style="81" customWidth="1"/>
    <col min="9" max="9" width="6.42578125" style="81" customWidth="1"/>
    <col min="10" max="10" width="7.140625" style="81" bestFit="1" customWidth="1"/>
    <col min="11" max="11" width="7.140625" style="81" customWidth="1"/>
    <col min="12" max="13" width="6.42578125" style="81" customWidth="1"/>
    <col min="14" max="14" width="14.7109375" style="81" customWidth="1"/>
    <col min="15" max="15" width="10.85546875" style="81" bestFit="1" customWidth="1"/>
    <col min="16" max="16" width="16.5703125" style="81" bestFit="1" customWidth="1"/>
    <col min="17" max="17" width="10" style="81" bestFit="1" customWidth="1"/>
    <col min="18" max="18" width="11.5703125" style="81" bestFit="1" customWidth="1"/>
    <col min="19" max="19" width="123.85546875" style="81" customWidth="1"/>
    <col min="20" max="16384" width="9.140625" style="81"/>
  </cols>
  <sheetData>
    <row r="1" spans="1:19">
      <c r="B1" s="82">
        <v>2013</v>
      </c>
      <c r="C1" s="82" t="s">
        <v>40</v>
      </c>
      <c r="D1" s="82"/>
      <c r="E1" s="82"/>
      <c r="F1" s="82"/>
      <c r="S1" s="83"/>
    </row>
    <row r="2" spans="1:19">
      <c r="B2" s="82"/>
      <c r="C2" s="84" t="s">
        <v>52</v>
      </c>
      <c r="D2" s="82"/>
      <c r="E2" s="82"/>
      <c r="F2" s="82"/>
      <c r="S2" s="83"/>
    </row>
    <row r="3" spans="1:19">
      <c r="B3" s="85" t="s">
        <v>1</v>
      </c>
      <c r="S3" s="83"/>
    </row>
    <row r="4" spans="1:19">
      <c r="C4" s="85" t="s">
        <v>2</v>
      </c>
      <c r="D4" s="85"/>
      <c r="S4" s="83"/>
    </row>
    <row r="5" spans="1:19" ht="15.75" customHeight="1" thickBot="1">
      <c r="B5" s="29" t="s">
        <v>77</v>
      </c>
      <c r="C5" s="85"/>
      <c r="D5" s="85"/>
      <c r="S5" s="83"/>
    </row>
    <row r="6" spans="1:19" ht="15.75" thickBot="1">
      <c r="A6" s="86" t="s">
        <v>4</v>
      </c>
      <c r="B6" s="87" t="s">
        <v>5</v>
      </c>
      <c r="C6" s="87"/>
      <c r="D6" s="88" t="s">
        <v>42</v>
      </c>
      <c r="E6" s="89"/>
      <c r="F6" s="90"/>
      <c r="G6" s="91" t="s">
        <v>7</v>
      </c>
      <c r="H6" s="92"/>
      <c r="I6" s="90"/>
      <c r="J6" s="91" t="s">
        <v>8</v>
      </c>
      <c r="K6" s="92"/>
      <c r="L6" s="90" t="s">
        <v>9</v>
      </c>
      <c r="M6" s="93"/>
      <c r="N6" s="94" t="s">
        <v>43</v>
      </c>
      <c r="O6" s="95" t="s">
        <v>11</v>
      </c>
      <c r="P6" s="95" t="s">
        <v>12</v>
      </c>
      <c r="Q6" s="95" t="s">
        <v>13</v>
      </c>
      <c r="R6" s="95" t="s">
        <v>13</v>
      </c>
      <c r="S6" s="96" t="s">
        <v>3</v>
      </c>
    </row>
    <row r="7" spans="1:19" ht="15.75" thickBot="1">
      <c r="A7" s="97" t="s">
        <v>14</v>
      </c>
      <c r="B7" s="98" t="s">
        <v>15</v>
      </c>
      <c r="C7" s="99" t="s">
        <v>16</v>
      </c>
      <c r="D7" s="100" t="s">
        <v>17</v>
      </c>
      <c r="E7" s="97" t="s">
        <v>18</v>
      </c>
      <c r="F7" s="98" t="s">
        <v>17</v>
      </c>
      <c r="G7" s="101" t="s">
        <v>19</v>
      </c>
      <c r="H7" s="99" t="s">
        <v>20</v>
      </c>
      <c r="I7" s="98" t="s">
        <v>17</v>
      </c>
      <c r="J7" s="101" t="s">
        <v>19</v>
      </c>
      <c r="K7" s="99" t="s">
        <v>20</v>
      </c>
      <c r="L7" s="98" t="s">
        <v>17</v>
      </c>
      <c r="M7" s="102" t="s">
        <v>21</v>
      </c>
      <c r="N7" s="97" t="s">
        <v>22</v>
      </c>
      <c r="O7" s="103" t="s">
        <v>23</v>
      </c>
      <c r="P7" s="103" t="s">
        <v>24</v>
      </c>
      <c r="Q7" s="103" t="s">
        <v>11</v>
      </c>
      <c r="R7" s="103" t="s">
        <v>25</v>
      </c>
      <c r="S7" s="83"/>
    </row>
    <row r="8" spans="1:19" s="82" customFormat="1" ht="15.75" customHeight="1" thickBot="1">
      <c r="A8" s="104" t="s">
        <v>89</v>
      </c>
      <c r="B8" s="105">
        <f>6.75-3.02</f>
        <v>3.73</v>
      </c>
      <c r="C8" s="106"/>
      <c r="D8" s="107">
        <f>8.85-4.32</f>
        <v>4.5299999999999994</v>
      </c>
      <c r="E8" s="108">
        <v>1000</v>
      </c>
      <c r="F8" s="109"/>
      <c r="G8" s="110"/>
      <c r="H8" s="111"/>
      <c r="I8" s="109"/>
      <c r="J8" s="110"/>
      <c r="K8" s="111"/>
      <c r="L8" s="105"/>
      <c r="M8" s="112"/>
      <c r="N8" s="113">
        <f>(B8*3)+(D8*15)</f>
        <v>79.139999999999986</v>
      </c>
      <c r="O8" s="113">
        <v>9.07</v>
      </c>
      <c r="P8" s="113">
        <v>64.8</v>
      </c>
      <c r="Q8" s="113">
        <f>O8+P8</f>
        <v>73.87</v>
      </c>
      <c r="R8" s="113">
        <f>N8+Q8</f>
        <v>153.01</v>
      </c>
      <c r="S8" s="114" t="s">
        <v>192</v>
      </c>
    </row>
    <row r="9" spans="1:19" s="82" customFormat="1" ht="15.75" thickBot="1">
      <c r="A9" s="115" t="s">
        <v>90</v>
      </c>
      <c r="B9" s="116">
        <v>0</v>
      </c>
      <c r="C9" s="117"/>
      <c r="D9" s="118">
        <v>5.5</v>
      </c>
      <c r="E9" s="108">
        <v>1000</v>
      </c>
      <c r="F9" s="116"/>
      <c r="G9" s="119"/>
      <c r="H9" s="120"/>
      <c r="I9" s="121"/>
      <c r="J9" s="119"/>
      <c r="K9" s="120"/>
      <c r="L9" s="116"/>
      <c r="M9" s="119"/>
      <c r="N9" s="113">
        <f>(B9*3)+(D9*15)</f>
        <v>82.5</v>
      </c>
      <c r="O9" s="113">
        <v>9.07</v>
      </c>
      <c r="P9" s="113">
        <v>64.8</v>
      </c>
      <c r="Q9" s="113">
        <f t="shared" ref="Q9:Q43" si="0">O9+P9</f>
        <v>73.87</v>
      </c>
      <c r="R9" s="113">
        <f t="shared" ref="R9:R43" si="1">N9+Q9</f>
        <v>156.37</v>
      </c>
      <c r="S9" s="114" t="s">
        <v>214</v>
      </c>
    </row>
    <row r="10" spans="1:19" s="82" customFormat="1" ht="15.75" thickBot="1">
      <c r="A10" s="115" t="s">
        <v>102</v>
      </c>
      <c r="B10" s="116">
        <f>10-3.02</f>
        <v>6.98</v>
      </c>
      <c r="C10" s="117" t="s">
        <v>28</v>
      </c>
      <c r="D10" s="118">
        <f>6.34-4.32</f>
        <v>2.0199999999999996</v>
      </c>
      <c r="E10" s="108">
        <v>1000</v>
      </c>
      <c r="F10" s="116"/>
      <c r="G10" s="119"/>
      <c r="H10" s="120"/>
      <c r="I10" s="121"/>
      <c r="J10" s="119"/>
      <c r="K10" s="120"/>
      <c r="L10" s="116"/>
      <c r="M10" s="119"/>
      <c r="N10" s="113">
        <f t="shared" ref="N10:N20" si="2">(B10*3)+(D10*15)</f>
        <v>51.239999999999995</v>
      </c>
      <c r="O10" s="113">
        <v>9.07</v>
      </c>
      <c r="P10" s="113">
        <v>64.8</v>
      </c>
      <c r="Q10" s="113">
        <f t="shared" si="0"/>
        <v>73.87</v>
      </c>
      <c r="R10" s="113">
        <f>N10+Q10</f>
        <v>125.11</v>
      </c>
      <c r="S10" s="114" t="s">
        <v>187</v>
      </c>
    </row>
    <row r="11" spans="1:19" s="82" customFormat="1" ht="15.75" thickBot="1">
      <c r="A11" s="115" t="s">
        <v>88</v>
      </c>
      <c r="B11" s="116">
        <f>5.65-3.02</f>
        <v>2.6300000000000003</v>
      </c>
      <c r="C11" s="117"/>
      <c r="D11" s="118">
        <f>9.5-4.32</f>
        <v>5.18</v>
      </c>
      <c r="E11" s="108">
        <v>1000</v>
      </c>
      <c r="F11" s="116"/>
      <c r="G11" s="119"/>
      <c r="H11" s="120"/>
      <c r="I11" s="121"/>
      <c r="J11" s="119"/>
      <c r="K11" s="120"/>
      <c r="L11" s="116"/>
      <c r="M11" s="119"/>
      <c r="N11" s="113">
        <f t="shared" si="2"/>
        <v>85.589999999999989</v>
      </c>
      <c r="O11" s="113">
        <v>9.07</v>
      </c>
      <c r="P11" s="113">
        <v>64.8</v>
      </c>
      <c r="Q11" s="113">
        <f t="shared" si="0"/>
        <v>73.87</v>
      </c>
      <c r="R11" s="113">
        <f t="shared" si="1"/>
        <v>159.45999999999998</v>
      </c>
      <c r="S11" s="114" t="s">
        <v>195</v>
      </c>
    </row>
    <row r="12" spans="1:19" s="82" customFormat="1" ht="15.75" thickBot="1">
      <c r="A12" s="115" t="s">
        <v>200</v>
      </c>
      <c r="B12" s="116">
        <v>0</v>
      </c>
      <c r="C12" s="117" t="s">
        <v>28</v>
      </c>
      <c r="D12" s="118">
        <v>3.5</v>
      </c>
      <c r="E12" s="108">
        <v>1000</v>
      </c>
      <c r="F12" s="116"/>
      <c r="G12" s="119"/>
      <c r="H12" s="120"/>
      <c r="I12" s="121"/>
      <c r="J12" s="119"/>
      <c r="K12" s="120"/>
      <c r="L12" s="116"/>
      <c r="M12" s="119"/>
      <c r="N12" s="113">
        <f t="shared" si="2"/>
        <v>52.5</v>
      </c>
      <c r="O12" s="113">
        <v>9.07</v>
      </c>
      <c r="P12" s="113">
        <v>64.8</v>
      </c>
      <c r="Q12" s="113">
        <f t="shared" si="0"/>
        <v>73.87</v>
      </c>
      <c r="R12" s="113">
        <f t="shared" si="1"/>
        <v>126.37</v>
      </c>
      <c r="S12" s="114" t="s">
        <v>201</v>
      </c>
    </row>
    <row r="13" spans="1:19" s="82" customFormat="1" ht="15.75" thickBot="1">
      <c r="A13" s="115" t="s">
        <v>117</v>
      </c>
      <c r="B13" s="116">
        <v>1.93</v>
      </c>
      <c r="C13" s="117" t="s">
        <v>28</v>
      </c>
      <c r="D13" s="118">
        <v>7.18</v>
      </c>
      <c r="E13" s="108">
        <v>1000</v>
      </c>
      <c r="F13" s="116"/>
      <c r="G13" s="119"/>
      <c r="H13" s="120"/>
      <c r="I13" s="121"/>
      <c r="J13" s="119"/>
      <c r="K13" s="120"/>
      <c r="L13" s="116"/>
      <c r="M13" s="119"/>
      <c r="N13" s="113">
        <f t="shared" si="2"/>
        <v>113.49</v>
      </c>
      <c r="O13" s="113">
        <v>9.07</v>
      </c>
      <c r="P13" s="113">
        <v>64.8</v>
      </c>
      <c r="Q13" s="113">
        <f t="shared" si="0"/>
        <v>73.87</v>
      </c>
      <c r="R13" s="113">
        <f t="shared" si="1"/>
        <v>187.36</v>
      </c>
      <c r="S13" s="114" t="s">
        <v>116</v>
      </c>
    </row>
    <row r="14" spans="1:19" s="82" customFormat="1" ht="15.75" thickBot="1">
      <c r="A14" s="115" t="s">
        <v>59</v>
      </c>
      <c r="B14" s="116">
        <v>0</v>
      </c>
      <c r="C14" s="117" t="s">
        <v>28</v>
      </c>
      <c r="D14" s="118">
        <v>4.8</v>
      </c>
      <c r="E14" s="108">
        <v>1000</v>
      </c>
      <c r="F14" s="116"/>
      <c r="G14" s="119"/>
      <c r="H14" s="120"/>
      <c r="I14" s="121"/>
      <c r="J14" s="119"/>
      <c r="K14" s="120"/>
      <c r="L14" s="116"/>
      <c r="M14" s="119"/>
      <c r="N14" s="113">
        <f t="shared" si="2"/>
        <v>72</v>
      </c>
      <c r="O14" s="113">
        <v>9.07</v>
      </c>
      <c r="P14" s="113">
        <v>64.8</v>
      </c>
      <c r="Q14" s="113">
        <f t="shared" si="0"/>
        <v>73.87</v>
      </c>
      <c r="R14" s="113">
        <f t="shared" si="1"/>
        <v>145.87</v>
      </c>
      <c r="S14" s="114" t="s">
        <v>178</v>
      </c>
    </row>
    <row r="15" spans="1:19" s="82" customFormat="1" ht="15.75" thickBot="1">
      <c r="A15" s="115" t="s">
        <v>188</v>
      </c>
      <c r="B15" s="116">
        <f>3.25-3.02</f>
        <v>0.22999999999999998</v>
      </c>
      <c r="C15" s="117"/>
      <c r="D15" s="118">
        <f>9.3-4.32</f>
        <v>4.9800000000000004</v>
      </c>
      <c r="E15" s="108">
        <v>1000</v>
      </c>
      <c r="F15" s="116"/>
      <c r="G15" s="119"/>
      <c r="H15" s="120"/>
      <c r="I15" s="121"/>
      <c r="J15" s="119"/>
      <c r="K15" s="120"/>
      <c r="L15" s="116"/>
      <c r="M15" s="119"/>
      <c r="N15" s="113">
        <f>(B15*3)+(D15*15)</f>
        <v>75.39</v>
      </c>
      <c r="O15" s="113">
        <v>9.07</v>
      </c>
      <c r="P15" s="113">
        <v>64.8</v>
      </c>
      <c r="Q15" s="113">
        <f t="shared" si="0"/>
        <v>73.87</v>
      </c>
      <c r="R15" s="113">
        <f t="shared" si="1"/>
        <v>149.26</v>
      </c>
      <c r="S15" s="114" t="s">
        <v>189</v>
      </c>
    </row>
    <row r="16" spans="1:19" s="82" customFormat="1" ht="27" thickBot="1">
      <c r="A16" s="115" t="s">
        <v>203</v>
      </c>
      <c r="B16" s="116">
        <v>2</v>
      </c>
      <c r="C16" s="117" t="s">
        <v>28</v>
      </c>
      <c r="D16" s="118">
        <v>7</v>
      </c>
      <c r="E16" s="108">
        <v>1000</v>
      </c>
      <c r="F16" s="116"/>
      <c r="G16" s="119"/>
      <c r="H16" s="120"/>
      <c r="I16" s="121"/>
      <c r="J16" s="119"/>
      <c r="K16" s="120"/>
      <c r="L16" s="116"/>
      <c r="M16" s="119"/>
      <c r="N16" s="113">
        <f t="shared" si="2"/>
        <v>111</v>
      </c>
      <c r="O16" s="113">
        <v>9.07</v>
      </c>
      <c r="P16" s="113">
        <v>64.8</v>
      </c>
      <c r="Q16" s="113">
        <f t="shared" si="0"/>
        <v>73.87</v>
      </c>
      <c r="R16" s="113">
        <f t="shared" si="1"/>
        <v>184.87</v>
      </c>
      <c r="S16" s="114" t="s">
        <v>202</v>
      </c>
    </row>
    <row r="17" spans="1:19" s="82" customFormat="1" ht="15.75" thickBot="1">
      <c r="A17" s="115" t="s">
        <v>120</v>
      </c>
      <c r="B17" s="116">
        <v>0</v>
      </c>
      <c r="C17" s="117" t="s">
        <v>28</v>
      </c>
      <c r="D17" s="118">
        <v>4.5</v>
      </c>
      <c r="E17" s="108">
        <v>1000</v>
      </c>
      <c r="F17" s="116"/>
      <c r="G17" s="119"/>
      <c r="H17" s="120"/>
      <c r="I17" s="121"/>
      <c r="J17" s="119"/>
      <c r="K17" s="120"/>
      <c r="L17" s="116"/>
      <c r="M17" s="119"/>
      <c r="N17" s="113">
        <f t="shared" si="2"/>
        <v>67.5</v>
      </c>
      <c r="O17" s="113">
        <v>9.07</v>
      </c>
      <c r="P17" s="113">
        <v>64.8</v>
      </c>
      <c r="Q17" s="113">
        <f t="shared" si="0"/>
        <v>73.87</v>
      </c>
      <c r="R17" s="113">
        <f t="shared" si="1"/>
        <v>141.37</v>
      </c>
      <c r="S17" s="122" t="s">
        <v>191</v>
      </c>
    </row>
    <row r="18" spans="1:19" s="82" customFormat="1" ht="15.75" thickBot="1">
      <c r="A18" s="115" t="s">
        <v>173</v>
      </c>
      <c r="B18" s="116">
        <v>0</v>
      </c>
      <c r="C18" s="117" t="s">
        <v>28</v>
      </c>
      <c r="D18" s="118">
        <f>7.82-4.32</f>
        <v>3.5</v>
      </c>
      <c r="E18" s="108">
        <v>1000</v>
      </c>
      <c r="F18" s="116"/>
      <c r="G18" s="119"/>
      <c r="H18" s="120"/>
      <c r="I18" s="121"/>
      <c r="J18" s="119"/>
      <c r="K18" s="120"/>
      <c r="L18" s="116"/>
      <c r="M18" s="119"/>
      <c r="N18" s="113">
        <f t="shared" si="2"/>
        <v>52.5</v>
      </c>
      <c r="O18" s="113">
        <v>9.07</v>
      </c>
      <c r="P18" s="113">
        <v>64.8</v>
      </c>
      <c r="Q18" s="113">
        <f t="shared" si="0"/>
        <v>73.87</v>
      </c>
      <c r="R18" s="113">
        <f t="shared" si="1"/>
        <v>126.37</v>
      </c>
      <c r="S18" s="114" t="s">
        <v>172</v>
      </c>
    </row>
    <row r="19" spans="1:19" s="82" customFormat="1" ht="15.75" thickBot="1">
      <c r="A19" s="115" t="s">
        <v>182</v>
      </c>
      <c r="B19" s="116">
        <f>5.75-3.02</f>
        <v>2.73</v>
      </c>
      <c r="C19" s="117"/>
      <c r="D19" s="118">
        <f>9.25-4.32</f>
        <v>4.93</v>
      </c>
      <c r="E19" s="108">
        <v>1000</v>
      </c>
      <c r="F19" s="116"/>
      <c r="G19" s="119"/>
      <c r="H19" s="120"/>
      <c r="I19" s="121"/>
      <c r="J19" s="119"/>
      <c r="K19" s="120"/>
      <c r="L19" s="116"/>
      <c r="M19" s="119"/>
      <c r="N19" s="113">
        <f t="shared" si="2"/>
        <v>82.139999999999986</v>
      </c>
      <c r="O19" s="113">
        <v>9.07</v>
      </c>
      <c r="P19" s="113">
        <v>64.8</v>
      </c>
      <c r="Q19" s="113">
        <f t="shared" si="0"/>
        <v>73.87</v>
      </c>
      <c r="R19" s="113">
        <f t="shared" si="1"/>
        <v>156.01</v>
      </c>
      <c r="S19" s="114" t="s">
        <v>181</v>
      </c>
    </row>
    <row r="20" spans="1:19" s="82" customFormat="1" ht="27" thickBot="1">
      <c r="A20" s="123" t="s">
        <v>128</v>
      </c>
      <c r="B20" s="124">
        <v>2.37</v>
      </c>
      <c r="C20" s="125" t="s">
        <v>28</v>
      </c>
      <c r="D20" s="126">
        <f>7.54-4.32</f>
        <v>3.2199999999999998</v>
      </c>
      <c r="E20" s="108">
        <v>1000</v>
      </c>
      <c r="F20" s="124"/>
      <c r="G20" s="127"/>
      <c r="H20" s="128"/>
      <c r="I20" s="129"/>
      <c r="J20" s="127"/>
      <c r="K20" s="128"/>
      <c r="L20" s="124"/>
      <c r="M20" s="127"/>
      <c r="N20" s="113">
        <f t="shared" si="2"/>
        <v>55.41</v>
      </c>
      <c r="O20" s="113">
        <v>9.07</v>
      </c>
      <c r="P20" s="113">
        <v>64.8</v>
      </c>
      <c r="Q20" s="113">
        <f t="shared" si="0"/>
        <v>73.87</v>
      </c>
      <c r="R20" s="113">
        <f t="shared" si="1"/>
        <v>129.28</v>
      </c>
      <c r="S20" s="114" t="s">
        <v>127</v>
      </c>
    </row>
    <row r="21" spans="1:19" s="82" customFormat="1" ht="15.75" thickBot="1">
      <c r="A21" s="115" t="s">
        <v>175</v>
      </c>
      <c r="B21" s="116">
        <v>0.38</v>
      </c>
      <c r="C21" s="118"/>
      <c r="D21" s="113">
        <v>3.75</v>
      </c>
      <c r="E21" s="108">
        <v>1000</v>
      </c>
      <c r="F21" s="116"/>
      <c r="G21" s="119"/>
      <c r="H21" s="130"/>
      <c r="I21" s="121"/>
      <c r="J21" s="119"/>
      <c r="K21" s="130"/>
      <c r="L21" s="116"/>
      <c r="M21" s="130"/>
      <c r="N21" s="113">
        <f>(B21*3)+(D21*15)</f>
        <v>57.39</v>
      </c>
      <c r="O21" s="113">
        <v>9.07</v>
      </c>
      <c r="P21" s="113">
        <v>64.8</v>
      </c>
      <c r="Q21" s="113">
        <f t="shared" si="0"/>
        <v>73.87</v>
      </c>
      <c r="R21" s="113">
        <f t="shared" si="1"/>
        <v>131.26</v>
      </c>
      <c r="S21" s="114" t="s">
        <v>174</v>
      </c>
    </row>
    <row r="22" spans="1:19" s="82" customFormat="1" ht="27" thickBot="1">
      <c r="A22" s="115" t="s">
        <v>104</v>
      </c>
      <c r="B22" s="116"/>
      <c r="C22" s="118">
        <v>-9.07</v>
      </c>
      <c r="D22" s="113">
        <f>6.25-4.32</f>
        <v>1.9299999999999997</v>
      </c>
      <c r="E22" s="108">
        <v>1000</v>
      </c>
      <c r="F22" s="116"/>
      <c r="G22" s="131"/>
      <c r="H22" s="132"/>
      <c r="I22" s="133"/>
      <c r="J22" s="131"/>
      <c r="K22" s="132"/>
      <c r="L22" s="133"/>
      <c r="M22" s="132"/>
      <c r="N22" s="113">
        <f>(C22)+(D22*15)</f>
        <v>19.879999999999995</v>
      </c>
      <c r="O22" s="113">
        <v>9.07</v>
      </c>
      <c r="P22" s="113">
        <v>64.8</v>
      </c>
      <c r="Q22" s="113">
        <f t="shared" si="0"/>
        <v>73.87</v>
      </c>
      <c r="R22" s="113">
        <f t="shared" si="1"/>
        <v>93.75</v>
      </c>
      <c r="S22" s="114" t="s">
        <v>218</v>
      </c>
    </row>
    <row r="23" spans="1:19" s="82" customFormat="1" ht="27" thickBot="1">
      <c r="A23" s="115" t="s">
        <v>184</v>
      </c>
      <c r="B23" s="116">
        <f>19.7-3.02</f>
        <v>16.68</v>
      </c>
      <c r="C23" s="118" t="s">
        <v>28</v>
      </c>
      <c r="D23" s="113">
        <f>6.71-4.32</f>
        <v>2.3899999999999997</v>
      </c>
      <c r="E23" s="108">
        <v>1000</v>
      </c>
      <c r="F23" s="116"/>
      <c r="G23" s="131"/>
      <c r="H23" s="132"/>
      <c r="I23" s="133"/>
      <c r="J23" s="131"/>
      <c r="K23" s="132"/>
      <c r="L23" s="133"/>
      <c r="M23" s="132"/>
      <c r="N23" s="113">
        <f>(B23*3)+(D23*15)</f>
        <v>85.889999999999986</v>
      </c>
      <c r="O23" s="113">
        <v>9.07</v>
      </c>
      <c r="P23" s="113">
        <v>64.8</v>
      </c>
      <c r="Q23" s="113">
        <f t="shared" si="0"/>
        <v>73.87</v>
      </c>
      <c r="R23" s="113">
        <f t="shared" si="1"/>
        <v>159.76</v>
      </c>
      <c r="S23" s="114" t="s">
        <v>87</v>
      </c>
    </row>
    <row r="24" spans="1:19" s="82" customFormat="1" ht="15.75" thickBot="1">
      <c r="A24" s="115" t="s">
        <v>198</v>
      </c>
      <c r="B24" s="116"/>
      <c r="C24" s="118">
        <v>0</v>
      </c>
      <c r="D24" s="113">
        <f>8-4.32</f>
        <v>3.6799999999999997</v>
      </c>
      <c r="E24" s="108">
        <v>1000</v>
      </c>
      <c r="F24" s="116"/>
      <c r="G24" s="131"/>
      <c r="H24" s="132"/>
      <c r="I24" s="133"/>
      <c r="J24" s="131"/>
      <c r="K24" s="132"/>
      <c r="L24" s="133"/>
      <c r="M24" s="132"/>
      <c r="N24" s="113">
        <f>(C24)+(D24*15)</f>
        <v>55.199999999999996</v>
      </c>
      <c r="O24" s="113">
        <v>9.07</v>
      </c>
      <c r="P24" s="113">
        <v>64.8</v>
      </c>
      <c r="Q24" s="113">
        <f t="shared" si="0"/>
        <v>73.87</v>
      </c>
      <c r="R24" s="113">
        <f t="shared" si="1"/>
        <v>129.07</v>
      </c>
      <c r="S24" s="114" t="s">
        <v>199</v>
      </c>
    </row>
    <row r="25" spans="1:19" s="82" customFormat="1" ht="15.75" thickBot="1">
      <c r="A25" s="115" t="s">
        <v>58</v>
      </c>
      <c r="B25" s="116">
        <v>0</v>
      </c>
      <c r="C25" s="118" t="s">
        <v>28</v>
      </c>
      <c r="D25" s="113">
        <v>4.05</v>
      </c>
      <c r="E25" s="108">
        <v>1000</v>
      </c>
      <c r="F25" s="116"/>
      <c r="G25" s="131"/>
      <c r="H25" s="132"/>
      <c r="I25" s="133"/>
      <c r="J25" s="131"/>
      <c r="K25" s="132"/>
      <c r="L25" s="133"/>
      <c r="M25" s="132"/>
      <c r="N25" s="113">
        <f>(B25*3)+(D25*15)</f>
        <v>60.75</v>
      </c>
      <c r="O25" s="113">
        <v>9.07</v>
      </c>
      <c r="P25" s="113">
        <v>64.8</v>
      </c>
      <c r="Q25" s="113">
        <f t="shared" si="0"/>
        <v>73.87</v>
      </c>
      <c r="R25" s="113">
        <f t="shared" si="1"/>
        <v>134.62</v>
      </c>
      <c r="S25" s="114" t="s">
        <v>185</v>
      </c>
    </row>
    <row r="26" spans="1:19" s="82" customFormat="1" ht="15.75" thickBot="1">
      <c r="A26" s="134" t="s">
        <v>130</v>
      </c>
      <c r="B26" s="116">
        <v>0</v>
      </c>
      <c r="C26" s="118" t="s">
        <v>28</v>
      </c>
      <c r="D26" s="113">
        <v>7.85</v>
      </c>
      <c r="E26" s="108">
        <v>1000</v>
      </c>
      <c r="F26" s="116"/>
      <c r="G26" s="131"/>
      <c r="H26" s="132"/>
      <c r="I26" s="133"/>
      <c r="J26" s="131"/>
      <c r="K26" s="132"/>
      <c r="L26" s="133"/>
      <c r="M26" s="132"/>
      <c r="N26" s="113">
        <f>(B26*3)+(D26*15)</f>
        <v>117.75</v>
      </c>
      <c r="O26" s="113">
        <v>9.07</v>
      </c>
      <c r="P26" s="113">
        <v>64.8</v>
      </c>
      <c r="Q26" s="113">
        <f t="shared" si="0"/>
        <v>73.87</v>
      </c>
      <c r="R26" s="113">
        <f t="shared" si="1"/>
        <v>191.62</v>
      </c>
      <c r="S26" s="114" t="s">
        <v>129</v>
      </c>
    </row>
    <row r="27" spans="1:19" s="82" customFormat="1" ht="15.75" thickBot="1">
      <c r="A27" s="134" t="s">
        <v>108</v>
      </c>
      <c r="B27" s="116">
        <f>2.88-3.02</f>
        <v>-0.14000000000000012</v>
      </c>
      <c r="C27" s="118"/>
      <c r="D27" s="113">
        <f>7.59-4.32</f>
        <v>3.2699999999999996</v>
      </c>
      <c r="E27" s="108">
        <v>1000</v>
      </c>
      <c r="F27" s="116"/>
      <c r="G27" s="131"/>
      <c r="H27" s="132"/>
      <c r="I27" s="133"/>
      <c r="J27" s="131"/>
      <c r="K27" s="132"/>
      <c r="L27" s="133"/>
      <c r="M27" s="132"/>
      <c r="N27" s="113">
        <f>(B27*3)+(D27*15)</f>
        <v>48.629999999999995</v>
      </c>
      <c r="O27" s="113">
        <v>9.07</v>
      </c>
      <c r="P27" s="113">
        <v>64.8</v>
      </c>
      <c r="Q27" s="113">
        <f t="shared" si="0"/>
        <v>73.87</v>
      </c>
      <c r="R27" s="113">
        <f t="shared" si="1"/>
        <v>122.5</v>
      </c>
      <c r="S27" s="114" t="s">
        <v>216</v>
      </c>
    </row>
    <row r="28" spans="1:19" s="82" customFormat="1" ht="39.75" thickBot="1">
      <c r="A28" s="134" t="s">
        <v>62</v>
      </c>
      <c r="B28" s="116">
        <v>0</v>
      </c>
      <c r="C28" s="118" t="s">
        <v>28</v>
      </c>
      <c r="D28" s="113">
        <f>16.5-3.02-(4.32*3)</f>
        <v>0.51999999999999957</v>
      </c>
      <c r="E28" s="108">
        <v>3000</v>
      </c>
      <c r="F28" s="116">
        <f>5.5-4.32</f>
        <v>1.1799999999999997</v>
      </c>
      <c r="G28" s="131">
        <v>3001</v>
      </c>
      <c r="H28" s="132"/>
      <c r="I28" s="133"/>
      <c r="J28" s="131"/>
      <c r="K28" s="132"/>
      <c r="L28" s="133"/>
      <c r="M28" s="132"/>
      <c r="N28" s="113">
        <f>B28 + (D28*3)+(F28*6)</f>
        <v>8.639999999999997</v>
      </c>
      <c r="O28" s="113">
        <v>9.07</v>
      </c>
      <c r="P28" s="113">
        <v>64.8</v>
      </c>
      <c r="Q28" s="113">
        <f t="shared" si="0"/>
        <v>73.87</v>
      </c>
      <c r="R28" s="113">
        <f t="shared" si="1"/>
        <v>82.51</v>
      </c>
      <c r="S28" s="114" t="s">
        <v>91</v>
      </c>
    </row>
    <row r="29" spans="1:19" s="82" customFormat="1" ht="27" thickBot="1">
      <c r="A29" s="115" t="s">
        <v>84</v>
      </c>
      <c r="B29" s="116">
        <v>0</v>
      </c>
      <c r="C29" s="118" t="s">
        <v>28</v>
      </c>
      <c r="D29" s="113">
        <f>15.25-4.23-3.02</f>
        <v>8</v>
      </c>
      <c r="E29" s="108">
        <v>1000</v>
      </c>
      <c r="F29" s="116">
        <v>2.98</v>
      </c>
      <c r="G29" s="131">
        <v>1001</v>
      </c>
      <c r="H29" s="132"/>
      <c r="I29" s="133"/>
      <c r="J29" s="131"/>
      <c r="K29" s="132"/>
      <c r="L29" s="133"/>
      <c r="M29" s="132"/>
      <c r="N29" s="113">
        <f>B29 + (D29*3)+(F29*12)</f>
        <v>59.76</v>
      </c>
      <c r="O29" s="113">
        <v>9.07</v>
      </c>
      <c r="P29" s="113">
        <v>64.8</v>
      </c>
      <c r="Q29" s="113">
        <f t="shared" si="0"/>
        <v>73.87</v>
      </c>
      <c r="R29" s="113">
        <f t="shared" si="1"/>
        <v>133.63</v>
      </c>
      <c r="S29" s="114" t="s">
        <v>190</v>
      </c>
    </row>
    <row r="30" spans="1:19" s="82" customFormat="1" ht="15.75" thickBot="1">
      <c r="A30" s="115" t="s">
        <v>83</v>
      </c>
      <c r="B30" s="116"/>
      <c r="C30" s="118">
        <f>31-9.07</f>
        <v>21.93</v>
      </c>
      <c r="D30" s="113">
        <v>1.28</v>
      </c>
      <c r="E30" s="108">
        <v>1000</v>
      </c>
      <c r="F30" s="116"/>
      <c r="G30" s="131"/>
      <c r="H30" s="132"/>
      <c r="I30" s="133"/>
      <c r="J30" s="131"/>
      <c r="K30" s="132"/>
      <c r="L30" s="133"/>
      <c r="M30" s="132"/>
      <c r="N30" s="113">
        <f>(C30)+(D30*15)</f>
        <v>41.129999999999995</v>
      </c>
      <c r="O30" s="113">
        <v>9.07</v>
      </c>
      <c r="P30" s="113">
        <v>64.8</v>
      </c>
      <c r="Q30" s="113">
        <f t="shared" si="0"/>
        <v>73.87</v>
      </c>
      <c r="R30" s="113">
        <f t="shared" si="1"/>
        <v>115</v>
      </c>
      <c r="S30" s="114" t="s">
        <v>186</v>
      </c>
    </row>
    <row r="31" spans="1:19" s="82" customFormat="1" ht="39.75" thickBot="1">
      <c r="A31" s="115" t="s">
        <v>33</v>
      </c>
      <c r="B31" s="116">
        <v>0</v>
      </c>
      <c r="C31" s="118"/>
      <c r="D31" s="113">
        <v>3.02</v>
      </c>
      <c r="E31" s="108">
        <v>1000</v>
      </c>
      <c r="F31" s="116"/>
      <c r="G31" s="131"/>
      <c r="H31" s="132"/>
      <c r="I31" s="133"/>
      <c r="J31" s="131"/>
      <c r="K31" s="132"/>
      <c r="L31" s="133"/>
      <c r="M31" s="132"/>
      <c r="N31" s="113">
        <f>(B31*3)+(D31*15)</f>
        <v>45.3</v>
      </c>
      <c r="O31" s="113">
        <v>9.07</v>
      </c>
      <c r="P31" s="113">
        <v>64.8</v>
      </c>
      <c r="Q31" s="113">
        <f t="shared" si="0"/>
        <v>73.87</v>
      </c>
      <c r="R31" s="113">
        <f t="shared" si="1"/>
        <v>119.17</v>
      </c>
      <c r="S31" s="114" t="s">
        <v>82</v>
      </c>
    </row>
    <row r="32" spans="1:19" s="82" customFormat="1" ht="15.75" thickBot="1">
      <c r="A32" s="115" t="s">
        <v>115</v>
      </c>
      <c r="B32" s="116">
        <f>6.67-3.02</f>
        <v>3.65</v>
      </c>
      <c r="C32" s="118" t="s">
        <v>28</v>
      </c>
      <c r="D32" s="113">
        <f>6.7-4.32</f>
        <v>2.38</v>
      </c>
      <c r="E32" s="108">
        <v>1000</v>
      </c>
      <c r="F32" s="116"/>
      <c r="G32" s="131"/>
      <c r="H32" s="132"/>
      <c r="I32" s="133"/>
      <c r="J32" s="131"/>
      <c r="K32" s="132"/>
      <c r="L32" s="133"/>
      <c r="M32" s="132"/>
      <c r="N32" s="113">
        <f>(B32*3)+(D32*15)</f>
        <v>46.649999999999991</v>
      </c>
      <c r="O32" s="113">
        <v>9.07</v>
      </c>
      <c r="P32" s="113">
        <v>64.8</v>
      </c>
      <c r="Q32" s="113">
        <f t="shared" si="0"/>
        <v>73.87</v>
      </c>
      <c r="R32" s="113">
        <f t="shared" si="1"/>
        <v>120.52</v>
      </c>
      <c r="S32" s="114" t="s">
        <v>215</v>
      </c>
    </row>
    <row r="33" spans="1:19" s="82" customFormat="1" ht="39.75" thickBot="1">
      <c r="A33" s="115" t="s">
        <v>194</v>
      </c>
      <c r="B33" s="116"/>
      <c r="C33" s="118">
        <f>22.56-9.07</f>
        <v>13.489999999999998</v>
      </c>
      <c r="D33" s="113">
        <v>2.56</v>
      </c>
      <c r="E33" s="108">
        <v>1000</v>
      </c>
      <c r="F33" s="116"/>
      <c r="G33" s="131"/>
      <c r="H33" s="132"/>
      <c r="I33" s="133"/>
      <c r="J33" s="131"/>
      <c r="K33" s="132"/>
      <c r="L33" s="133"/>
      <c r="M33" s="132"/>
      <c r="N33" s="113">
        <f>(C33)+(D33*15)</f>
        <v>51.89</v>
      </c>
      <c r="O33" s="113">
        <v>9.07</v>
      </c>
      <c r="P33" s="113">
        <v>64.8</v>
      </c>
      <c r="Q33" s="113">
        <f t="shared" si="0"/>
        <v>73.87</v>
      </c>
      <c r="R33" s="113">
        <f t="shared" si="1"/>
        <v>125.76</v>
      </c>
      <c r="S33" s="114" t="s">
        <v>193</v>
      </c>
    </row>
    <row r="34" spans="1:19" s="82" customFormat="1" ht="15.75" thickBot="1">
      <c r="A34" s="115" t="s">
        <v>113</v>
      </c>
      <c r="B34" s="116">
        <v>0</v>
      </c>
      <c r="C34" s="118" t="s">
        <v>28</v>
      </c>
      <c r="D34" s="113">
        <v>6</v>
      </c>
      <c r="E34" s="108">
        <v>1000</v>
      </c>
      <c r="F34" s="116"/>
      <c r="G34" s="131"/>
      <c r="H34" s="132"/>
      <c r="I34" s="133"/>
      <c r="J34" s="131"/>
      <c r="K34" s="132"/>
      <c r="L34" s="133"/>
      <c r="M34" s="132"/>
      <c r="N34" s="113">
        <f>(B34*3)+(D34*15)</f>
        <v>90</v>
      </c>
      <c r="O34" s="113">
        <v>9.07</v>
      </c>
      <c r="P34" s="113">
        <v>64.8</v>
      </c>
      <c r="Q34" s="113">
        <f t="shared" si="0"/>
        <v>73.87</v>
      </c>
      <c r="R34" s="113">
        <f t="shared" si="1"/>
        <v>163.87</v>
      </c>
      <c r="S34" s="122" t="s">
        <v>114</v>
      </c>
    </row>
    <row r="35" spans="1:19" s="82" customFormat="1" ht="15.75" thickBot="1">
      <c r="A35" s="115" t="s">
        <v>105</v>
      </c>
      <c r="B35" s="116">
        <v>0</v>
      </c>
      <c r="C35" s="118" t="s">
        <v>28</v>
      </c>
      <c r="D35" s="113">
        <v>1.5</v>
      </c>
      <c r="E35" s="108">
        <v>1000</v>
      </c>
      <c r="F35" s="116"/>
      <c r="G35" s="131"/>
      <c r="H35" s="132"/>
      <c r="I35" s="133"/>
      <c r="J35" s="131"/>
      <c r="K35" s="132"/>
      <c r="L35" s="133"/>
      <c r="M35" s="132"/>
      <c r="N35" s="113">
        <f>(B35*3)+(D35*15)</f>
        <v>22.5</v>
      </c>
      <c r="O35" s="113">
        <v>9.07</v>
      </c>
      <c r="P35" s="113">
        <v>64.8</v>
      </c>
      <c r="Q35" s="113">
        <f t="shared" si="0"/>
        <v>73.87</v>
      </c>
      <c r="R35" s="113">
        <f t="shared" si="1"/>
        <v>96.37</v>
      </c>
      <c r="S35" s="114" t="s">
        <v>180</v>
      </c>
    </row>
    <row r="36" spans="1:19" s="82" customFormat="1" ht="27" thickBot="1">
      <c r="A36" s="115" t="s">
        <v>53</v>
      </c>
      <c r="B36" s="116">
        <f>12-3.02</f>
        <v>8.98</v>
      </c>
      <c r="C36" s="118"/>
      <c r="D36" s="113">
        <v>2.4300000000000002</v>
      </c>
      <c r="E36" s="108">
        <v>1000</v>
      </c>
      <c r="F36" s="116"/>
      <c r="G36" s="131"/>
      <c r="H36" s="132"/>
      <c r="I36" s="133"/>
      <c r="J36" s="131"/>
      <c r="K36" s="132"/>
      <c r="L36" s="133"/>
      <c r="M36" s="132"/>
      <c r="N36" s="113">
        <f>(B36*3)+(D36*15)</f>
        <v>63.39</v>
      </c>
      <c r="O36" s="113">
        <v>9.07</v>
      </c>
      <c r="P36" s="113">
        <v>64.8</v>
      </c>
      <c r="Q36" s="113">
        <f t="shared" si="0"/>
        <v>73.87</v>
      </c>
      <c r="R36" s="113">
        <f t="shared" si="1"/>
        <v>137.26</v>
      </c>
      <c r="S36" s="114" t="s">
        <v>169</v>
      </c>
    </row>
    <row r="37" spans="1:19" s="82" customFormat="1" ht="15.75" thickBot="1">
      <c r="A37" s="115" t="s">
        <v>176</v>
      </c>
      <c r="B37" s="116"/>
      <c r="C37" s="118">
        <v>0</v>
      </c>
      <c r="D37" s="113">
        <v>4.5</v>
      </c>
      <c r="E37" s="108">
        <v>1000</v>
      </c>
      <c r="F37" s="116"/>
      <c r="G37" s="131"/>
      <c r="H37" s="132"/>
      <c r="I37" s="133"/>
      <c r="J37" s="131"/>
      <c r="K37" s="132"/>
      <c r="L37" s="133"/>
      <c r="M37" s="132"/>
      <c r="N37" s="113">
        <f>(C37)+(D37*15)</f>
        <v>67.5</v>
      </c>
      <c r="O37" s="113">
        <v>9.07</v>
      </c>
      <c r="P37" s="113">
        <v>64.8</v>
      </c>
      <c r="Q37" s="113">
        <f t="shared" si="0"/>
        <v>73.87</v>
      </c>
      <c r="R37" s="113">
        <f t="shared" si="1"/>
        <v>141.37</v>
      </c>
      <c r="S37" s="114" t="s">
        <v>177</v>
      </c>
    </row>
    <row r="38" spans="1:19" s="82" customFormat="1" ht="15.75" thickBot="1">
      <c r="A38" s="115" t="s">
        <v>61</v>
      </c>
      <c r="B38" s="116"/>
      <c r="C38" s="118">
        <v>0</v>
      </c>
      <c r="D38" s="113">
        <v>0</v>
      </c>
      <c r="E38" s="108">
        <v>1000</v>
      </c>
      <c r="F38" s="116"/>
      <c r="G38" s="131"/>
      <c r="H38" s="132"/>
      <c r="I38" s="133"/>
      <c r="J38" s="131"/>
      <c r="K38" s="132"/>
      <c r="L38" s="133"/>
      <c r="M38" s="132"/>
      <c r="N38" s="113">
        <f>C38+(D38*E38)</f>
        <v>0</v>
      </c>
      <c r="O38" s="113">
        <v>9.07</v>
      </c>
      <c r="P38" s="113">
        <v>64.8</v>
      </c>
      <c r="Q38" s="113">
        <f t="shared" si="0"/>
        <v>73.87</v>
      </c>
      <c r="R38" s="113">
        <f t="shared" si="1"/>
        <v>73.87</v>
      </c>
      <c r="S38" s="114" t="s">
        <v>54</v>
      </c>
    </row>
    <row r="39" spans="1:19" s="82" customFormat="1" ht="15.75" thickBot="1">
      <c r="A39" s="115" t="s">
        <v>86</v>
      </c>
      <c r="B39" s="116">
        <v>3.6</v>
      </c>
      <c r="C39" s="118" t="s">
        <v>28</v>
      </c>
      <c r="D39" s="113">
        <f>(4.32*2.19)-4.32</f>
        <v>5.1408000000000005</v>
      </c>
      <c r="E39" s="108">
        <v>1000</v>
      </c>
      <c r="F39" s="116"/>
      <c r="G39" s="131"/>
      <c r="H39" s="132"/>
      <c r="I39" s="133"/>
      <c r="J39" s="131"/>
      <c r="K39" s="132"/>
      <c r="L39" s="133"/>
      <c r="M39" s="132"/>
      <c r="N39" s="113">
        <f>(B39*3)+(D39*15)</f>
        <v>87.912000000000006</v>
      </c>
      <c r="O39" s="113">
        <v>9.07</v>
      </c>
      <c r="P39" s="113">
        <v>64.8</v>
      </c>
      <c r="Q39" s="113">
        <f t="shared" si="0"/>
        <v>73.87</v>
      </c>
      <c r="R39" s="113">
        <f t="shared" si="1"/>
        <v>161.78200000000001</v>
      </c>
      <c r="S39" s="114" t="s">
        <v>85</v>
      </c>
    </row>
    <row r="40" spans="1:19" s="82" customFormat="1" ht="15.75" thickBot="1">
      <c r="A40" s="115" t="s">
        <v>171</v>
      </c>
      <c r="B40" s="116">
        <f>3.8-3.02</f>
        <v>0.7799999999999998</v>
      </c>
      <c r="C40" s="118"/>
      <c r="D40" s="113">
        <f>8.02-4.32</f>
        <v>3.6999999999999993</v>
      </c>
      <c r="E40" s="108">
        <v>1000</v>
      </c>
      <c r="F40" s="116"/>
      <c r="G40" s="131"/>
      <c r="H40" s="132"/>
      <c r="I40" s="133"/>
      <c r="J40" s="131"/>
      <c r="K40" s="132"/>
      <c r="L40" s="133"/>
      <c r="M40" s="132"/>
      <c r="N40" s="113">
        <f>(B40*3)+(D40*15)</f>
        <v>57.839999999999982</v>
      </c>
      <c r="O40" s="113">
        <v>9.07</v>
      </c>
      <c r="P40" s="113">
        <v>64.8</v>
      </c>
      <c r="Q40" s="113">
        <f t="shared" si="0"/>
        <v>73.87</v>
      </c>
      <c r="R40" s="113">
        <f t="shared" si="1"/>
        <v>131.70999999999998</v>
      </c>
      <c r="S40" s="114" t="s">
        <v>170</v>
      </c>
    </row>
    <row r="41" spans="1:19" s="82" customFormat="1" ht="15.75" thickBot="1">
      <c r="A41" s="115" t="s">
        <v>179</v>
      </c>
      <c r="B41" s="116">
        <f>17-3.02</f>
        <v>13.98</v>
      </c>
      <c r="C41" s="118"/>
      <c r="D41" s="113">
        <f>6.83-4.32</f>
        <v>2.5099999999999998</v>
      </c>
      <c r="E41" s="108">
        <v>1000</v>
      </c>
      <c r="F41" s="116">
        <f>10.5-4.32</f>
        <v>6.18</v>
      </c>
      <c r="G41" s="131">
        <v>15001</v>
      </c>
      <c r="H41" s="132">
        <v>100000</v>
      </c>
      <c r="I41" s="133">
        <f>12.5-4.32</f>
        <v>8.18</v>
      </c>
      <c r="J41" s="131">
        <v>100001</v>
      </c>
      <c r="K41" s="132" t="s">
        <v>28</v>
      </c>
      <c r="L41" s="133" t="s">
        <v>28</v>
      </c>
      <c r="M41" s="132" t="s">
        <v>28</v>
      </c>
      <c r="N41" s="113">
        <f>(B41*3)+(D41*15)</f>
        <v>79.59</v>
      </c>
      <c r="O41" s="113">
        <v>9.07</v>
      </c>
      <c r="P41" s="113">
        <v>64.8</v>
      </c>
      <c r="Q41" s="113">
        <f t="shared" si="0"/>
        <v>73.87</v>
      </c>
      <c r="R41" s="113">
        <f t="shared" si="1"/>
        <v>153.46</v>
      </c>
      <c r="S41" s="114" t="s">
        <v>93</v>
      </c>
    </row>
    <row r="42" spans="1:19" s="82" customFormat="1" ht="15.75" thickBot="1">
      <c r="A42" s="115" t="s">
        <v>55</v>
      </c>
      <c r="B42" s="116">
        <f>11.89-3.02</f>
        <v>8.870000000000001</v>
      </c>
      <c r="C42" s="118"/>
      <c r="D42" s="113">
        <v>1</v>
      </c>
      <c r="E42" s="108">
        <v>1000</v>
      </c>
      <c r="F42" s="116"/>
      <c r="G42" s="131"/>
      <c r="H42" s="132"/>
      <c r="I42" s="133"/>
      <c r="J42" s="131"/>
      <c r="K42" s="132"/>
      <c r="L42" s="133"/>
      <c r="M42" s="132"/>
      <c r="N42" s="113">
        <f>(B42*3)+(D42*15)</f>
        <v>41.61</v>
      </c>
      <c r="O42" s="113">
        <v>9.07</v>
      </c>
      <c r="P42" s="113">
        <v>64.8</v>
      </c>
      <c r="Q42" s="113">
        <f t="shared" si="0"/>
        <v>73.87</v>
      </c>
      <c r="R42" s="113">
        <f t="shared" si="1"/>
        <v>115.48</v>
      </c>
      <c r="S42" s="114" t="s">
        <v>183</v>
      </c>
    </row>
    <row r="43" spans="1:19" s="82" customFormat="1">
      <c r="A43" s="134" t="s">
        <v>196</v>
      </c>
      <c r="B43" s="116"/>
      <c r="C43" s="118">
        <v>0</v>
      </c>
      <c r="D43" s="113">
        <f>10.24-4.32</f>
        <v>5.92</v>
      </c>
      <c r="E43" s="108">
        <v>1000</v>
      </c>
      <c r="F43" s="116"/>
      <c r="G43" s="131"/>
      <c r="H43" s="132"/>
      <c r="I43" s="133"/>
      <c r="J43" s="131"/>
      <c r="K43" s="132"/>
      <c r="L43" s="133"/>
      <c r="M43" s="132"/>
      <c r="N43" s="113">
        <f>(C43)+(D43*15)</f>
        <v>88.8</v>
      </c>
      <c r="O43" s="113">
        <v>9.07</v>
      </c>
      <c r="P43" s="113">
        <v>64.8</v>
      </c>
      <c r="Q43" s="113">
        <f t="shared" si="0"/>
        <v>73.87</v>
      </c>
      <c r="R43" s="113">
        <f t="shared" si="1"/>
        <v>162.67000000000002</v>
      </c>
      <c r="S43" s="114" t="s">
        <v>197</v>
      </c>
    </row>
    <row r="44" spans="1:19" s="82" customFormat="1" ht="15.75" thickBot="1">
      <c r="A44" s="135"/>
      <c r="B44" s="136"/>
      <c r="C44" s="137"/>
      <c r="D44" s="138"/>
      <c r="E44" s="139"/>
      <c r="F44" s="140"/>
      <c r="G44" s="141"/>
      <c r="H44" s="142"/>
      <c r="I44" s="140"/>
      <c r="J44" s="141"/>
      <c r="K44" s="142"/>
      <c r="L44" s="140"/>
      <c r="M44" s="142"/>
      <c r="N44" s="138"/>
      <c r="O44" s="113" t="s">
        <v>28</v>
      </c>
      <c r="P44" s="113" t="s">
        <v>28</v>
      </c>
      <c r="Q44" s="113" t="s">
        <v>28</v>
      </c>
      <c r="R44" s="113" t="s">
        <v>28</v>
      </c>
      <c r="S44" s="122"/>
    </row>
    <row r="45" spans="1:19">
      <c r="S45" s="83"/>
    </row>
    <row r="46" spans="1:19">
      <c r="A46" s="85" t="s">
        <v>37</v>
      </c>
      <c r="B46" s="143"/>
      <c r="C46" s="82"/>
      <c r="D46" s="82"/>
      <c r="E46" s="82"/>
      <c r="F46" s="82"/>
      <c r="G46" s="82"/>
      <c r="H46" s="82"/>
      <c r="I46" s="82"/>
      <c r="J46" s="82"/>
      <c r="K46" s="82"/>
      <c r="L46" s="82"/>
      <c r="M46" s="82"/>
      <c r="N46" s="82"/>
      <c r="S46" s="83"/>
    </row>
    <row r="47" spans="1:19">
      <c r="B47" s="81" t="s">
        <v>38</v>
      </c>
      <c r="Q47" s="81" t="s">
        <v>28</v>
      </c>
      <c r="R47" s="144" t="s">
        <v>28</v>
      </c>
      <c r="S47" s="83"/>
    </row>
    <row r="48" spans="1:19">
      <c r="B48" s="145" t="s">
        <v>221</v>
      </c>
      <c r="C48" s="82"/>
      <c r="D48" s="82"/>
      <c r="E48" s="82"/>
      <c r="F48" s="82"/>
      <c r="G48" s="82"/>
      <c r="S48" s="83"/>
    </row>
    <row r="49" spans="2:2">
      <c r="B49" s="81" t="s">
        <v>204</v>
      </c>
    </row>
  </sheetData>
  <sheetProtection formatCells="0" formatColumns="0" formatRows="0"/>
  <pageMargins left="0.7" right="0.7" top="0.75" bottom="0.75" header="0.3" footer="0.3"/>
  <pageSetup paperSize="17" scale="6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ALCOSAN Eastern Basin</vt:lpstr>
      <vt:lpstr>ALCOSAN Northern Basin</vt:lpstr>
      <vt:lpstr>ALCOSAN Southern Basin</vt:lpstr>
      <vt:lpstr>'ALCOSAN Eastern Basin'!Print_Area</vt:lpstr>
      <vt:lpstr>'ALCOSAN Southern Basin'!Print_Area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2012-07-27T13:22:02Z</cp:lastPrinted>
  <dcterms:created xsi:type="dcterms:W3CDTF">2010-10-20T16:43:27Z</dcterms:created>
  <dcterms:modified xsi:type="dcterms:W3CDTF">2013-08-08T12:28:24Z</dcterms:modified>
</cp:coreProperties>
</file>