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11955"/>
  </bookViews>
  <sheets>
    <sheet name="ALCOSAN Eastern Basin" sheetId="1" r:id="rId1"/>
    <sheet name="ALCOSAN Northern Basin" sheetId="2" r:id="rId2"/>
    <sheet name="ALCOSAN Southern Basin" sheetId="3" r:id="rId3"/>
  </sheets>
  <definedNames>
    <definedName name="_xlnm.Print_Area" localSheetId="0">'ALCOSAN Eastern Basin'!$A$1:$S$39</definedName>
    <definedName name="_xlnm.Print_Area" localSheetId="2">'ALCOSAN Southern Basin'!$A$2:$R$43</definedName>
  </definedNames>
  <calcPr calcId="125725"/>
</workbook>
</file>

<file path=xl/calcChain.xml><?xml version="1.0" encoding="utf-8"?>
<calcChain xmlns="http://schemas.openxmlformats.org/spreadsheetml/2006/main">
  <c r="C25" i="1"/>
  <c r="D17"/>
  <c r="F12"/>
  <c r="N12" s="1"/>
  <c r="D12"/>
  <c r="D41" i="3"/>
  <c r="B41"/>
  <c r="B8"/>
  <c r="D8"/>
  <c r="F32" i="2"/>
  <c r="D32"/>
  <c r="N27"/>
  <c r="C27"/>
  <c r="D27"/>
  <c r="B20" i="3"/>
  <c r="D20"/>
  <c r="C27" i="1"/>
  <c r="D27"/>
  <c r="D23" i="3"/>
  <c r="B23"/>
  <c r="D13" i="2"/>
  <c r="D28" i="3"/>
  <c r="F28"/>
  <c r="N13"/>
  <c r="C18" i="2"/>
  <c r="C17"/>
  <c r="D18"/>
  <c r="D17"/>
  <c r="N15"/>
  <c r="B27" i="3"/>
  <c r="D27"/>
  <c r="N33" i="2"/>
  <c r="C16"/>
  <c r="F19" i="1"/>
  <c r="D19"/>
  <c r="C26"/>
  <c r="D26"/>
  <c r="D19" i="3"/>
  <c r="B19"/>
  <c r="N29" i="2"/>
  <c r="F29"/>
  <c r="B15" i="3"/>
  <c r="F30" i="1"/>
  <c r="D30"/>
  <c r="C33" i="3"/>
  <c r="D36"/>
  <c r="B36"/>
  <c r="D30"/>
  <c r="C30"/>
  <c r="D11"/>
  <c r="B11"/>
  <c r="B10"/>
  <c r="D10"/>
  <c r="D29"/>
  <c r="D25" i="2"/>
  <c r="C25"/>
  <c r="D32" i="3"/>
  <c r="R24" i="1"/>
  <c r="D36" i="2"/>
  <c r="F16" i="1"/>
  <c r="D16"/>
  <c r="D39" i="3"/>
  <c r="D43"/>
  <c r="D22"/>
  <c r="F21" i="1"/>
  <c r="D21"/>
  <c r="D18"/>
  <c r="N34" i="2" l="1"/>
  <c r="N22"/>
  <c r="N21"/>
  <c r="N20"/>
  <c r="N37" i="3"/>
  <c r="N19" i="1"/>
  <c r="N21" i="3"/>
  <c r="B32"/>
  <c r="N32" s="1"/>
  <c r="N36" i="2" l="1"/>
  <c r="F31"/>
  <c r="D31"/>
  <c r="N31" s="1"/>
  <c r="N30" i="1"/>
  <c r="F24"/>
  <c r="D24"/>
  <c r="N24" s="1"/>
  <c r="N40" i="3"/>
  <c r="N22"/>
  <c r="N32" i="2" l="1"/>
  <c r="D24" i="3"/>
  <c r="N16" i="2"/>
  <c r="N15" i="1" l="1"/>
  <c r="N10" i="2"/>
  <c r="N27" i="1"/>
  <c r="N16"/>
  <c r="N35" i="2" l="1"/>
  <c r="N9" i="3"/>
  <c r="N15"/>
  <c r="N8"/>
  <c r="N36"/>
  <c r="N32" i="1"/>
  <c r="N31"/>
  <c r="N9"/>
  <c r="N20" l="1"/>
  <c r="N29" i="3"/>
  <c r="N13" i="1" l="1"/>
  <c r="Q43" i="3" l="1"/>
  <c r="N43"/>
  <c r="Q42"/>
  <c r="N42"/>
  <c r="Q41"/>
  <c r="N41"/>
  <c r="Q40"/>
  <c r="Q39"/>
  <c r="N39"/>
  <c r="Q38"/>
  <c r="N38"/>
  <c r="Q37"/>
  <c r="Q36"/>
  <c r="Q35"/>
  <c r="N35"/>
  <c r="Q34"/>
  <c r="N34"/>
  <c r="Q33"/>
  <c r="N33"/>
  <c r="Q32"/>
  <c r="Q31"/>
  <c r="N31"/>
  <c r="Q30"/>
  <c r="N30"/>
  <c r="Q29"/>
  <c r="R29" s="1"/>
  <c r="Q28"/>
  <c r="N28"/>
  <c r="Q27"/>
  <c r="N27"/>
  <c r="Q26"/>
  <c r="N26"/>
  <c r="Q25"/>
  <c r="N25"/>
  <c r="Q24"/>
  <c r="N24"/>
  <c r="Q23"/>
  <c r="N23"/>
  <c r="Q22"/>
  <c r="Q21"/>
  <c r="Q20"/>
  <c r="N20"/>
  <c r="Q19"/>
  <c r="N19"/>
  <c r="Q18"/>
  <c r="N18"/>
  <c r="Q17"/>
  <c r="N17"/>
  <c r="Q16"/>
  <c r="N16"/>
  <c r="Q15"/>
  <c r="Q14"/>
  <c r="N14"/>
  <c r="Q13"/>
  <c r="Q12"/>
  <c r="N12"/>
  <c r="Q11"/>
  <c r="N11"/>
  <c r="Q10"/>
  <c r="N10"/>
  <c r="R10" s="1"/>
  <c r="Q9"/>
  <c r="Q8"/>
  <c r="Q37" i="2"/>
  <c r="N37"/>
  <c r="Q36"/>
  <c r="R36" s="1"/>
  <c r="Q35"/>
  <c r="R35"/>
  <c r="Q34"/>
  <c r="R34"/>
  <c r="Q33"/>
  <c r="R33"/>
  <c r="Q32"/>
  <c r="R32"/>
  <c r="Q31"/>
  <c r="R31" s="1"/>
  <c r="Q30"/>
  <c r="N30"/>
  <c r="Q29"/>
  <c r="R29" s="1"/>
  <c r="Q28"/>
  <c r="N28"/>
  <c r="Q27"/>
  <c r="Q26"/>
  <c r="N26"/>
  <c r="Q25"/>
  <c r="N25"/>
  <c r="Q24"/>
  <c r="N24"/>
  <c r="Q23"/>
  <c r="N23"/>
  <c r="Q22"/>
  <c r="Q21"/>
  <c r="Q20"/>
  <c r="Q19"/>
  <c r="N19"/>
  <c r="Q18"/>
  <c r="N18"/>
  <c r="Q17"/>
  <c r="N17"/>
  <c r="R17" s="1"/>
  <c r="Q16"/>
  <c r="R16"/>
  <c r="Q15"/>
  <c r="R15"/>
  <c r="Q14"/>
  <c r="N14"/>
  <c r="R14" s="1"/>
  <c r="Q13"/>
  <c r="N13"/>
  <c r="Q12"/>
  <c r="N12"/>
  <c r="Q11"/>
  <c r="N11"/>
  <c r="Q10"/>
  <c r="R10" s="1"/>
  <c r="Q9"/>
  <c r="N9"/>
  <c r="Q8"/>
  <c r="N8"/>
  <c r="Q33" i="1"/>
  <c r="N33"/>
  <c r="Q32"/>
  <c r="Q31"/>
  <c r="Q30"/>
  <c r="Q29"/>
  <c r="N29"/>
  <c r="Q28"/>
  <c r="N28"/>
  <c r="Q27"/>
  <c r="R27" s="1"/>
  <c r="Q26"/>
  <c r="N26"/>
  <c r="Q25"/>
  <c r="N25"/>
  <c r="R25" s="1"/>
  <c r="Q24"/>
  <c r="Q23"/>
  <c r="N23"/>
  <c r="Q22"/>
  <c r="N22"/>
  <c r="Q21"/>
  <c r="N21"/>
  <c r="Q20"/>
  <c r="R20" s="1"/>
  <c r="Q19"/>
  <c r="R19" s="1"/>
  <c r="Q18"/>
  <c r="Q17"/>
  <c r="N17"/>
  <c r="Q16"/>
  <c r="R16" s="1"/>
  <c r="Q15"/>
  <c r="R15" s="1"/>
  <c r="Q14"/>
  <c r="N14"/>
  <c r="Q13"/>
  <c r="R13" s="1"/>
  <c r="Q12"/>
  <c r="R12" s="1"/>
  <c r="Q11"/>
  <c r="N11"/>
  <c r="Q10"/>
  <c r="N10"/>
  <c r="Q9"/>
  <c r="Q8"/>
  <c r="N8"/>
  <c r="M14" l="1"/>
  <c r="R14" s="1"/>
  <c r="R18" i="2"/>
  <c r="R25"/>
  <c r="R13"/>
  <c r="R19"/>
  <c r="R20"/>
  <c r="R21"/>
  <c r="R22"/>
  <c r="R23"/>
  <c r="R24"/>
  <c r="R26"/>
  <c r="R27"/>
  <c r="R28"/>
  <c r="R30"/>
  <c r="R37"/>
  <c r="R9"/>
  <c r="R11"/>
  <c r="R12"/>
  <c r="R8"/>
  <c r="R21" i="1"/>
  <c r="R22"/>
  <c r="R23"/>
  <c r="N18"/>
  <c r="R18" s="1"/>
  <c r="R9"/>
  <c r="R10"/>
  <c r="R11"/>
  <c r="R17"/>
  <c r="R26"/>
  <c r="R28"/>
  <c r="R29"/>
  <c r="R30"/>
  <c r="R31"/>
  <c r="R32"/>
  <c r="R33"/>
  <c r="R8"/>
  <c r="R16" i="3"/>
  <c r="R17"/>
  <c r="R18"/>
  <c r="R19"/>
  <c r="R20"/>
  <c r="R21"/>
  <c r="R22"/>
  <c r="R23"/>
  <c r="R24"/>
  <c r="R25"/>
  <c r="R26"/>
  <c r="R27"/>
  <c r="R28"/>
  <c r="R30"/>
  <c r="R31"/>
  <c r="R32"/>
  <c r="R33"/>
  <c r="R34"/>
  <c r="R35"/>
  <c r="R36"/>
  <c r="R37"/>
  <c r="R38"/>
  <c r="R39"/>
  <c r="R40"/>
  <c r="R41"/>
  <c r="R42"/>
  <c r="R43"/>
  <c r="R8"/>
  <c r="R9"/>
  <c r="R11"/>
  <c r="R12"/>
  <c r="R13"/>
  <c r="R14"/>
  <c r="R15"/>
</calcChain>
</file>

<file path=xl/sharedStrings.xml><?xml version="1.0" encoding="utf-8"?>
<sst xmlns="http://schemas.openxmlformats.org/spreadsheetml/2006/main" count="347" uniqueCount="221">
  <si>
    <t>Eastern Basin</t>
  </si>
  <si>
    <t>NOTE: All rates are given in $/1000 gallons</t>
  </si>
  <si>
    <t>"from"  and "to" columns indicate lower and upper gallon ranges applicable to Tier Rate</t>
  </si>
  <si>
    <t>NOTES</t>
  </si>
  <si>
    <t>Municipality</t>
  </si>
  <si>
    <t xml:space="preserve">    Service Charge</t>
  </si>
  <si>
    <t xml:space="preserve">             Base</t>
  </si>
  <si>
    <t>Tier 1*</t>
  </si>
  <si>
    <t>Tier 2*</t>
  </si>
  <si>
    <t xml:space="preserve">      Tier 3*</t>
  </si>
  <si>
    <t>Local Charge</t>
  </si>
  <si>
    <t>ALCOSAN</t>
  </si>
  <si>
    <t>ALCOSAN Charge</t>
  </si>
  <si>
    <t>TOTAL</t>
  </si>
  <si>
    <t>Authority</t>
  </si>
  <si>
    <t>Monthly</t>
  </si>
  <si>
    <t>Quarterly</t>
  </si>
  <si>
    <t>Rate</t>
  </si>
  <si>
    <t>Gallons</t>
  </si>
  <si>
    <t>from</t>
  </si>
  <si>
    <t>to</t>
  </si>
  <si>
    <t>over</t>
  </si>
  <si>
    <t>15,000 gallons</t>
  </si>
  <si>
    <t>Service Fee</t>
  </si>
  <si>
    <t>15,000 Gallons</t>
  </si>
  <si>
    <t>CUSTOMER</t>
  </si>
  <si>
    <t>East McKeesport</t>
  </si>
  <si>
    <t xml:space="preserve"> </t>
  </si>
  <si>
    <t>Flat Rate</t>
  </si>
  <si>
    <t>Residential</t>
  </si>
  <si>
    <t>North Versailles</t>
  </si>
  <si>
    <t>Penn Township</t>
  </si>
  <si>
    <t>Pittsburgh</t>
  </si>
  <si>
    <t>Trafford</t>
  </si>
  <si>
    <t>Verona**</t>
  </si>
  <si>
    <t>NOTES:</t>
  </si>
  <si>
    <t>* Tiered rates are given for 1000 gallons</t>
  </si>
  <si>
    <t>*** For Plum Borough, rates are based on cubic feet…..these values converted to gallons for this comparison.</t>
  </si>
  <si>
    <t>Residential Rate Comparison</t>
  </si>
  <si>
    <t>Northern Basin</t>
  </si>
  <si>
    <t xml:space="preserve">       Base</t>
  </si>
  <si>
    <t>Charge/quarter</t>
  </si>
  <si>
    <t>Ben Avon**</t>
  </si>
  <si>
    <t>A $63.00 quarterly service charge is imposed to this district by on top of McCandless rates as part of merger agreement.  Will be in place until associated Franklin Park bonds are paid off in 2016.</t>
  </si>
  <si>
    <t>A $27.00 quarterly service charge is imposed to this district by on top of McCandless rates as part of merger agreement.  Will be in place until associated Franklin Park bonds are paid off in 2016.</t>
  </si>
  <si>
    <t>Sharpsburg</t>
  </si>
  <si>
    <t>* Rates are for 1000 gallons</t>
  </si>
  <si>
    <t>Southern Basin</t>
  </si>
  <si>
    <t>South Fayette</t>
  </si>
  <si>
    <t>Whitaker</t>
  </si>
  <si>
    <t>Chalfont**</t>
  </si>
  <si>
    <t>Pitcairn**</t>
  </si>
  <si>
    <t>Mt. Lebanon**</t>
  </si>
  <si>
    <t>Castle Shannon**</t>
  </si>
  <si>
    <t>Thornburg**</t>
  </si>
  <si>
    <t>Girty's Run **</t>
  </si>
  <si>
    <t>Millvale - Girty's Run **</t>
  </si>
  <si>
    <t>West View **</t>
  </si>
  <si>
    <t>Aspinwall **</t>
  </si>
  <si>
    <t>Direct Bill by ALCOSAN; No local mark-up</t>
  </si>
  <si>
    <t>Reserve **</t>
  </si>
  <si>
    <t>Reserve - Girtys Run Cust. **</t>
  </si>
  <si>
    <t>Emsworth **</t>
  </si>
  <si>
    <t>Avalon **</t>
  </si>
  <si>
    <t>NET LOCAL CHARGES BELOW ARE BASED ON 15,000 GALLONS/QUARTER AFTER ALCOSAN FEES REMOVED</t>
  </si>
  <si>
    <t>Edgewood</t>
  </si>
  <si>
    <t>Verona customers are ALCOSAN direct billed. No sewer surcharge by Verona.  All internal sewer system O&amp;M costs come out of taxes.</t>
  </si>
  <si>
    <t>Oakdale</t>
  </si>
  <si>
    <t>Upper St. Clair</t>
  </si>
  <si>
    <t>Brentwood</t>
  </si>
  <si>
    <t>Baldwin Township</t>
  </si>
  <si>
    <t xml:space="preserve">McCandless - Residential </t>
  </si>
  <si>
    <t>Franklin Park - Lowries Run</t>
  </si>
  <si>
    <t>Franklin Park - Bear Run</t>
  </si>
  <si>
    <t>Bethel Park</t>
  </si>
  <si>
    <t>Kennedy</t>
  </si>
  <si>
    <t>Scott **</t>
  </si>
  <si>
    <t>Wall</t>
  </si>
  <si>
    <t>$6.00/thous gallon surcharge over ALCOSAN rates unchanged in 2012 per HMA management  7-19-12 phone call</t>
  </si>
  <si>
    <t>Pleasant Hills</t>
  </si>
  <si>
    <t>Carnegie</t>
  </si>
  <si>
    <t xml:space="preserve">Ross </t>
  </si>
  <si>
    <t xml:space="preserve">Neville </t>
  </si>
  <si>
    <t>Dormont **</t>
  </si>
  <si>
    <t>Homestead</t>
  </si>
  <si>
    <t>Wilkins**</t>
  </si>
  <si>
    <t>Wilkinsburg**</t>
  </si>
  <si>
    <t>Wilmerding**</t>
  </si>
  <si>
    <t>Rankin**</t>
  </si>
  <si>
    <t>Penn Hills**</t>
  </si>
  <si>
    <t>Forest Hills**</t>
  </si>
  <si>
    <t>East Pittsburgh**</t>
  </si>
  <si>
    <t>Braddock Hills**</t>
  </si>
  <si>
    <t>O'Hara**</t>
  </si>
  <si>
    <t>Ingram**</t>
  </si>
  <si>
    <t>Stowe**</t>
  </si>
  <si>
    <t>Crafton</t>
  </si>
  <si>
    <t>ALCOSAN rates in 2014 include a $10.61 quarterly service charge plus $5.05 per thousand gallons of water consumption</t>
  </si>
  <si>
    <t>North Huntingdon</t>
  </si>
  <si>
    <t xml:space="preserve">2/18/14 Email from Mike Branthoover. Rates effective Jan 1, 2014…NHTMA has a flat rate of $48.80 per month for residential customers (up from $43.50 in 2013) including all ALCOSAN charges; commercial customers are metered and pay $43.30 per month per EDU.   1 EDU = 4,200 gallons per month. </t>
  </si>
  <si>
    <t xml:space="preserve"> Rate changes occurred effective 1-1-14. Total rate including ALCOSAN fees are $82.28/quarter minimum for a residential customer (includes up to 3,000 of consumption) + $6.39/thous above 3,000.  Email from Lisa Klingensmith 2/18/14</t>
  </si>
  <si>
    <t>Email 5/21/13 from Gerald Orsini.  Total charge per thous galls including ALCOSAN charges is $7.00.</t>
  </si>
  <si>
    <t>Email from K. Schwoegl, 2/17/14. No change in net local rate in 2013. $1.50 quarterly service fee is WPJWA billing charge</t>
  </si>
  <si>
    <t>Whitehall</t>
  </si>
  <si>
    <t>Per 2/17/14 email from Jim Leventry. No chnange from 2012</t>
  </si>
  <si>
    <t>Multiplier set at 2.25 times ALCOSAN rates….service charge from $3.60 to $4.42. Email from Steven Williams 2/17/14</t>
  </si>
  <si>
    <t>Email from Tom Lavorinr 2/17/14.  Only change is that from ALCOSAN</t>
  </si>
  <si>
    <t>Direct Bill by ALCOSAN…2/17/14 email from Dorothy Falk</t>
  </si>
  <si>
    <t>Per 2/17/14 email from Connie Rosenbayger. Total charge including ALCOSAN fees is $8.50/thousand gallons with a minimum of $68.00/qtr. for the first 8,000 gallons</t>
  </si>
  <si>
    <t>McKees Rocks</t>
  </si>
  <si>
    <t>As per email from Tricia Levander 2/17/14</t>
  </si>
  <si>
    <t>Monroeville</t>
  </si>
  <si>
    <t>As per email from Michele George, 2/14/14</t>
  </si>
  <si>
    <t>No change from 2013. Email from Craig Robinson 2/14/14</t>
  </si>
  <si>
    <t>Churchill**</t>
  </si>
  <si>
    <t xml:space="preserve"> Per 2/14/14 email from Jan Barbus, Sharpsburg has a $31.00 minimum rate per quarter based on up to 4,000 gallons usage.  Residential rate is $1.56/thous over ALCOSAN rate. Commercial rate is 2.16/ thousand over Alcosan rate. </t>
  </si>
  <si>
    <t>Effective January 1, 2014 rates changes as follows:  PWSA adds a $3.48/thous charge to residential customers for sewer system maint charge plus an additional 7% (DSIC) for a total of $3.72/thous gallons…all other ALCOSAN charges are also passed on to customer.  Non residential rates for this sewer system charge vary from $3.10 to $5.02/thous gallons (+ 7% DSIC). As per email 2/14/14 from A. Shaw</t>
  </si>
  <si>
    <t>Plum**</t>
  </si>
  <si>
    <t>As per email from Howard Theis, 2/14/14. Rates remain the same as in 2013</t>
  </si>
  <si>
    <t xml:space="preserve">Per email from Marla Stevens, 2/14/14.  </t>
  </si>
  <si>
    <t>Shaler**</t>
  </si>
  <si>
    <t>Shaler - Girty's Run Area**</t>
  </si>
  <si>
    <t>Per email from Tim Rogers, rates have not changed from 2013 level except for ALCOSAN rates.</t>
  </si>
  <si>
    <t>Fox Chapel</t>
  </si>
  <si>
    <t>As per email from Gary Koehler, 2/14/14. Qrtly rate on 15KG changed from $50.25 to $129.90</t>
  </si>
  <si>
    <t>Rates have not changed for 2013.  Residential rate is 5.80/thous plus $19.50 quarterly service fee including all ALCOSAN charges   MTSA's commercial rate is $1.32/thous more than their residential rate. Per email John Flaherty</t>
  </si>
  <si>
    <t>West Homestead</t>
  </si>
  <si>
    <t>As per email from Kyle Thauvette 2/14/14</t>
  </si>
  <si>
    <t>As per email from Steve Morus 2/14/14</t>
  </si>
  <si>
    <t>As email on 2/14/14 from Rob Zahorchak Baldwin Twp's 2014 rate remain unchanged.</t>
  </si>
  <si>
    <t>No change from 2013. Email from Michele Garvey 2/14/14</t>
  </si>
  <si>
    <t>As per email from Joe Hartzell, rates remain the same as 2013</t>
  </si>
  <si>
    <t xml:space="preserve">Rate information from Kelly Rohbek on 2/14/14;  Oakdale 2014 rates including all ALCOSAN charges consist of a $17.85 monthly fee for the first 1,000 gallons, then $8.50 per thousand. </t>
  </si>
  <si>
    <t>Green Tree</t>
  </si>
  <si>
    <t>As pe email from Dave Montz 2/14/14</t>
  </si>
  <si>
    <t>Per email from Jeff Naftal 2/14/14 No change from 2013 rates other than ALCOSAN</t>
  </si>
  <si>
    <t>As per email from Rebecca Bradley 2/14/14, no change from 2013 except for ALCOSAN rates</t>
  </si>
  <si>
    <t>Per 2/14/14 email from Joe Villela total charge is $7/thous plus $13 monthly service charge including all ALCOSAN charges (Jan - Apr) $7.4/K (May - Dec)</t>
  </si>
  <si>
    <t>From Draft Ord No. 1219 (Dec. 2013)  Monthly service charge of $6.61 plus $11.11 per thous gallons including all ALCOSAN charges</t>
  </si>
  <si>
    <t>Per Jim Miskis email 2/14/14. 2013 rates $31.00 service charge; $5.60/mgal - includes ALCOSAN fees</t>
  </si>
  <si>
    <t>Per Jerry Brown in 2/14/14 email S. Fayette Authority kept monthly service fee at $12.00 but raised per thousand gallon charge to $7.60 in Jan. 2014.   Above rates include all ALCOSAN charges.</t>
  </si>
  <si>
    <t>Ben Avon Heights</t>
  </si>
  <si>
    <t>As per email from Denise Raves, $5/KG plus ALCOSAN charges</t>
  </si>
  <si>
    <t>North Braddock</t>
  </si>
  <si>
    <t>Net local rate per thousand gallons remains at $6.50 in 2013.  $1.50 quarterly service fee is WPJWA billing charge</t>
  </si>
  <si>
    <t>Robinson **</t>
  </si>
  <si>
    <t>Rates unchanged from 2013 as per email from Tony Lenze, 2/14/14</t>
  </si>
  <si>
    <t>Billed by WPWJWA.  Per email from Eileen Navish 2/14/14, East Pittsburgh local ratesiare 50% of ALCOSAN charges. Net local service charge = 50% of ALCOSAN service charge plus $1.50 WPJWA billing charge.</t>
  </si>
  <si>
    <t>PWSA adds a $3.48/thous charge to residential customers for sewer system maint charge plus an additional 7% (DSIC) for a total of $3.72/thous gallons…all other ALCOSAN charges are also passed on to customer.  Non residential rates for this sewer system charge vary from $3.10 to $5.02/thous gallons (+ 7% DSIC)</t>
  </si>
  <si>
    <t>No change from 2013 Per Marie Incovati email 2/19/14</t>
  </si>
  <si>
    <t xml:space="preserve">Per 2/19/14 email from Julie Donolo,  Wall charges a $90.92 for the first 10,000 gallons of use that includes all ALCOSAN charges and also includes a $15.00 local consent order charge.  For water consumption above 10,000 gallons per quarter, the additional charge is $1.50/thousand consent order charge plus $6.47/KG including ALCOSAN's $5.05/KG charge; plus $11.22 service change. </t>
  </si>
  <si>
    <t>No change from 2013. Email from Borough Secretary 2/19/14</t>
  </si>
  <si>
    <t>Collier</t>
  </si>
  <si>
    <t>As per email from CTMA 2/20/14</t>
  </si>
  <si>
    <t>Bridgeville</t>
  </si>
  <si>
    <t>As per email from Lori Collins 2/20/14.</t>
  </si>
  <si>
    <t>From 2/19/14 email from Kurt Todd;  No change in local rate for 2014.  Still $7.85/thousand plus all ALCOSAN charges. Due to billing error the rate went out to customers as $7.12/KG &amp; it will remain so for 2014.</t>
  </si>
  <si>
    <t>Mt. Oliver</t>
  </si>
  <si>
    <t>No change from 2013 except for ALCOSAN increases. Email from Marla Marcinko 2/24/14</t>
  </si>
  <si>
    <t>Ohio Twp. Sanitary Auth.</t>
  </si>
  <si>
    <t>Rate schedule provided in 2/14/14 email from Pat Pratt &amp; phone conversation w/ LuAnn Barna 2/24/14</t>
  </si>
  <si>
    <t>No change from 2013. Email from Teresa Windstein 2/24/14</t>
  </si>
  <si>
    <t>Heidelberg</t>
  </si>
  <si>
    <t>As per email from Joe Kauer 2/24/14</t>
  </si>
  <si>
    <t>No change from 2013 except for ALCOSAN increases. Email from Cathy Jones 2/24/14</t>
  </si>
  <si>
    <t xml:space="preserve">Indiana - Ottawa </t>
  </si>
  <si>
    <t xml:space="preserve">Indiana - Fairview </t>
  </si>
  <si>
    <t xml:space="preserve">Indiana - Middle Rd. Ext. </t>
  </si>
  <si>
    <t xml:space="preserve">Indiana - Middle Rd. I &amp; II </t>
  </si>
  <si>
    <t>As per email from Candy Wygonil 2/24/14</t>
  </si>
  <si>
    <t>As per email from Candy Wygonil 2/24/15</t>
  </si>
  <si>
    <t>As per email from Candy Wygonil 2/24/16</t>
  </si>
  <si>
    <t>As per email from Candy Wygonil 2/24/17</t>
  </si>
  <si>
    <t xml:space="preserve">Swissvale </t>
  </si>
  <si>
    <t>As per email from Amanda Ford 2/24/14</t>
  </si>
  <si>
    <t>As per email from Patricia Logo 2/24/14. Min. $70.20/6KG +$4.50 service charge plus $11.70/KG over 1,000 gallons</t>
  </si>
  <si>
    <t>Peters**</t>
  </si>
  <si>
    <t>Info from email from Julie Bastianini 2/24/14; Net local rate per thousand gallons $4.70 plus 3% of total bill.  $1.50 quarterly service fee is WPJWA billing charge</t>
  </si>
  <si>
    <t>Turtle Creek</t>
  </si>
  <si>
    <t>As per email from Julie Pantalone 2/24/14</t>
  </si>
  <si>
    <t>Per Doug Sample email on 2/25/14, $4.50 service charge and $3.75/KG plus ALCOSAN charges</t>
  </si>
  <si>
    <t>As per email from Mary Ellen Ramage 2/25/14. Billing is by-monthly: $5.43 S.C/billing; $3.28/KG</t>
  </si>
  <si>
    <t xml:space="preserve">Etna </t>
  </si>
  <si>
    <t xml:space="preserve">Munhall** </t>
  </si>
  <si>
    <t>Per phone conversation with billing agent 2/26/14.  No change from 2013.</t>
  </si>
  <si>
    <t>No change from 2013. Email from Tom Hartswick 2/26814</t>
  </si>
  <si>
    <t>No change in 2013 effective local rate of $1.73/thous plus ALCOSAN fees per 2/28/14 phone call from Georgine to Bill.Billed by ALCOSAN</t>
  </si>
  <si>
    <t>No change from 2013 Per 2/28/14 email from Denise Fitzgerald</t>
  </si>
  <si>
    <t>Email from Bob Callen, 2/28/14. Change in local net rate for 2014, $2.25/month service charge plus $8.00/thous gallons exclusive of ALCOSAN charges; ALCOSAN increase passed on to customer</t>
  </si>
  <si>
    <t>No change from 2013. Email from D Stecko 2/28/14</t>
  </si>
  <si>
    <t>Per Steve Beuter, 2/28/14.  Carnegie rate is $7.00/KG plus $3.54 service charge/qrtr plus ALCOSAN charges</t>
  </si>
  <si>
    <t>North Fayette</t>
  </si>
  <si>
    <t xml:space="preserve">Per Bob Grimm email 2/28/14; total rate including ALCOSAN fees is $22.50/month flat fee and includes use up to 3,000 gallons, then $7.50/KG.  </t>
  </si>
  <si>
    <t>Braddock</t>
  </si>
  <si>
    <t>2/28/14 email from Eileen Navish.  Rate is  $1.75/KG plus all ALCOSAN charges</t>
  </si>
  <si>
    <t xml:space="preserve">Blawnox </t>
  </si>
  <si>
    <t xml:space="preserve">Per 2/28/14 email from Sherry Kordas, total charge to their customers is $7.92/KG plus the $10.61 ALCOSAN service fee.  </t>
  </si>
  <si>
    <t>Per Gloria Stroop in3/4/14 email, McDonald Authority raised monthly service fee to $24.70 and $9.46/KG.  Above rates include all ALCOSAN charges.</t>
  </si>
  <si>
    <t>McDonald</t>
  </si>
  <si>
    <t>Per 3/5/14 email from Jean Warren, 2014 rates are $ $8.65 monthly service fee plus all ALCOSAN charges</t>
  </si>
  <si>
    <t>Email from Jeff McLaughlin 3/6/14.  Local charge of $75.15 for the first 6 thousand gallons use, plus $5.47/KG for use greater than 6,000, including ALCOSAN fees</t>
  </si>
  <si>
    <t>From 3-11-14 phone call with Ian McMeans.   Sewer rates for single family home = $8.55/KG;Multi-family home= $9.60/KG;Others= $10.65/KG , $6.50/mo service fee including ALCOSAN.</t>
  </si>
  <si>
    <t xml:space="preserve"> In phone conversation with Cindy Alexander on 3/11/14. Rates are $15.45/KG and $10.75 service charge, including all ALCOSAN charges</t>
  </si>
  <si>
    <t>No change from 2012. Phone call from Moe Rayan 3/12/14</t>
  </si>
  <si>
    <t>As per phone call from Henry Local surcharge is 30% of ALCOSAN charges. The same as 2013</t>
  </si>
  <si>
    <t>As per telephone conversation with Carol on 3/18/14</t>
  </si>
  <si>
    <t>No change from 2013. Phone conversation with Mike Bolen 3/18/14</t>
  </si>
  <si>
    <t>Bellevue**</t>
  </si>
  <si>
    <t>No change from 2013. Email from Ron Borczyk 3/18/14</t>
  </si>
  <si>
    <t>Baldwin Borough**</t>
  </si>
  <si>
    <t>No change from 2013. Email from John Barrett 3/18/14</t>
  </si>
  <si>
    <t>No change from 2013. Phone call from Julie Jakubec 3/18/14.</t>
  </si>
  <si>
    <t>West Mifflin</t>
  </si>
  <si>
    <t>Rates for 2014 per mail from Ann Steiner 3/19/14;  Non residential customers have a $25.00 per month service fee (including ALCOSAN service fee)</t>
  </si>
  <si>
    <t xml:space="preserve">Kilbuck </t>
  </si>
  <si>
    <t xml:space="preserve">No rate change from 2013 per Harry Dilmore email dated 3-28-14.  </t>
  </si>
  <si>
    <t>Rates  per Harry Dilmore email dated 3-28-14.   Same rates as Emsworth except for approximately 16 homes on Plummer and Newman Drive, that pay an additional $42.00/month debt service charge.</t>
  </si>
  <si>
    <r>
      <t xml:space="preserve">** No change in </t>
    </r>
    <r>
      <rPr>
        <b/>
        <sz val="11"/>
        <rFont val="Calibri"/>
        <family val="2"/>
        <scheme val="minor"/>
      </rPr>
      <t>effective</t>
    </r>
    <r>
      <rPr>
        <sz val="11"/>
        <rFont val="Calibri"/>
        <family val="2"/>
        <scheme val="minor"/>
      </rPr>
      <t xml:space="preserve"> local rates from 2013 survey</t>
    </r>
  </si>
  <si>
    <r>
      <t xml:space="preserve">Rosslyn Farms </t>
    </r>
    <r>
      <rPr>
        <b/>
        <vertAlign val="superscript"/>
        <sz val="11"/>
        <rFont val="Calibri"/>
        <family val="2"/>
        <scheme val="minor"/>
      </rPr>
      <t>x</t>
    </r>
  </si>
  <si>
    <r>
      <t xml:space="preserve">x </t>
    </r>
    <r>
      <rPr>
        <b/>
        <sz val="10"/>
        <rFont val="Calibri"/>
        <family val="2"/>
        <scheme val="minor"/>
      </rPr>
      <t>No Response to survey</t>
    </r>
  </si>
  <si>
    <r>
      <t xml:space="preserve">** No change in </t>
    </r>
    <r>
      <rPr>
        <b/>
        <sz val="11"/>
        <rFont val="Arial"/>
        <family val="2"/>
      </rPr>
      <t xml:space="preserve">effective </t>
    </r>
    <r>
      <rPr>
        <sz val="11"/>
        <rFont val="Arial"/>
        <family val="2"/>
      </rPr>
      <t xml:space="preserve">local rates </t>
    </r>
    <r>
      <rPr>
        <sz val="11"/>
        <rFont val="Calibri"/>
        <family val="2"/>
        <scheme val="minor"/>
      </rPr>
      <t>from 2013 suvey</t>
    </r>
  </si>
</sst>
</file>

<file path=xl/styles.xml><?xml version="1.0" encoding="utf-8"?>
<styleSheet xmlns="http://schemas.openxmlformats.org/spreadsheetml/2006/main">
  <numFmts count="3">
    <numFmt numFmtId="164" formatCode="&quot;$&quot;#,##0.00"/>
    <numFmt numFmtId="165" formatCode="&quot;$&quot;#,##0.000"/>
    <numFmt numFmtId="166" formatCode="0.0%"/>
  </numFmts>
  <fonts count="9">
    <font>
      <sz val="11"/>
      <color theme="1"/>
      <name val="Calibri"/>
      <family val="2"/>
      <scheme val="minor"/>
    </font>
    <font>
      <b/>
      <sz val="10"/>
      <name val="Calibri"/>
      <family val="2"/>
      <scheme val="minor"/>
    </font>
    <font>
      <sz val="10"/>
      <name val="Calibri"/>
      <family val="2"/>
      <scheme val="minor"/>
    </font>
    <font>
      <b/>
      <sz val="11"/>
      <name val="Arial"/>
      <family val="2"/>
    </font>
    <font>
      <sz val="11"/>
      <name val="Arial"/>
      <family val="2"/>
    </font>
    <font>
      <sz val="11"/>
      <name val="Calibri"/>
      <family val="2"/>
      <scheme val="minor"/>
    </font>
    <font>
      <b/>
      <sz val="11"/>
      <name val="Calibri"/>
      <family val="2"/>
      <scheme val="minor"/>
    </font>
    <font>
      <b/>
      <vertAlign val="superscript"/>
      <sz val="11"/>
      <name val="Calibri"/>
      <family val="2"/>
      <scheme val="minor"/>
    </font>
    <font>
      <b/>
      <vertAlign val="superscript"/>
      <sz val="10"/>
      <name val="Calibri"/>
      <family val="2"/>
      <scheme val="minor"/>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149">
    <xf numFmtId="0" fontId="0" fillId="0" borderId="0" xfId="0"/>
    <xf numFmtId="0" fontId="1" fillId="0" borderId="0" xfId="0" applyFont="1" applyFill="1"/>
    <xf numFmtId="0" fontId="1" fillId="0" borderId="0" xfId="0" applyFont="1"/>
    <xf numFmtId="0" fontId="2" fillId="0" borderId="1" xfId="0" applyFont="1" applyFill="1" applyBorder="1" applyAlignment="1">
      <alignment horizontal="center"/>
    </xf>
    <xf numFmtId="0" fontId="2" fillId="0" borderId="0" xfId="0" applyFont="1" applyAlignment="1">
      <alignment horizontal="center" wrapText="1"/>
    </xf>
    <xf numFmtId="0" fontId="2" fillId="0" borderId="9" xfId="0" applyFont="1" applyBorder="1" applyAlignment="1">
      <alignment horizontal="center"/>
    </xf>
    <xf numFmtId="3" fontId="2" fillId="0" borderId="36"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22" xfId="0" applyNumberFormat="1" applyFont="1" applyFill="1" applyBorder="1" applyAlignment="1">
      <alignment horizontal="center"/>
    </xf>
    <xf numFmtId="164" fontId="2" fillId="0" borderId="14" xfId="0" applyNumberFormat="1" applyFont="1" applyFill="1" applyBorder="1" applyAlignment="1">
      <alignment horizontal="center"/>
    </xf>
    <xf numFmtId="0" fontId="2" fillId="0" borderId="0" xfId="0" applyFont="1" applyFill="1" applyAlignment="1">
      <alignment horizontal="left" wrapText="1"/>
    </xf>
    <xf numFmtId="1" fontId="2" fillId="0" borderId="14" xfId="0" applyNumberFormat="1" applyFont="1" applyFill="1" applyBorder="1" applyAlignment="1">
      <alignment horizontal="center"/>
    </xf>
    <xf numFmtId="0" fontId="2" fillId="0" borderId="24" xfId="0" applyFont="1" applyFill="1" applyBorder="1" applyAlignment="1">
      <alignment horizontal="center"/>
    </xf>
    <xf numFmtId="0" fontId="2" fillId="0" borderId="14" xfId="0" applyFont="1" applyFill="1" applyBorder="1" applyAlignment="1">
      <alignment horizontal="center"/>
    </xf>
    <xf numFmtId="0" fontId="2" fillId="0" borderId="22" xfId="0" applyFont="1" applyFill="1" applyBorder="1" applyAlignment="1">
      <alignment horizontal="center"/>
    </xf>
    <xf numFmtId="164" fontId="2" fillId="0" borderId="31" xfId="0" applyNumberFormat="1" applyFont="1" applyFill="1" applyBorder="1" applyAlignment="1">
      <alignment horizontal="center"/>
    </xf>
    <xf numFmtId="164" fontId="2" fillId="0" borderId="32" xfId="0" applyNumberFormat="1" applyFont="1" applyFill="1" applyBorder="1" applyAlignment="1">
      <alignment horizontal="center"/>
    </xf>
    <xf numFmtId="164" fontId="2" fillId="0" borderId="30" xfId="0" applyNumberFormat="1"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33" xfId="0" applyFont="1" applyFill="1" applyBorder="1" applyAlignment="1">
      <alignment horizontal="center"/>
    </xf>
    <xf numFmtId="0" fontId="2" fillId="0" borderId="32" xfId="0" applyFont="1" applyFill="1" applyBorder="1" applyAlignment="1">
      <alignment horizontal="center"/>
    </xf>
    <xf numFmtId="0" fontId="2" fillId="0" borderId="0" xfId="0" applyFont="1" applyFill="1" applyBorder="1"/>
    <xf numFmtId="0" fontId="2" fillId="0" borderId="0" xfId="0" applyFont="1" applyFill="1"/>
    <xf numFmtId="0" fontId="2" fillId="0" borderId="8" xfId="0" applyFont="1" applyFill="1" applyBorder="1" applyAlignment="1">
      <alignment horizontal="center"/>
    </xf>
    <xf numFmtId="0" fontId="2" fillId="0" borderId="0" xfId="0" applyFont="1" applyAlignment="1">
      <alignment horizontal="left" wrapText="1"/>
    </xf>
    <xf numFmtId="0" fontId="2" fillId="0" borderId="9" xfId="0" applyFont="1" applyFill="1" applyBorder="1" applyAlignment="1">
      <alignment horizontal="center"/>
    </xf>
    <xf numFmtId="164" fontId="2" fillId="0" borderId="18" xfId="0" applyNumberFormat="1" applyFont="1" applyBorder="1" applyAlignment="1">
      <alignment horizontal="center"/>
    </xf>
    <xf numFmtId="0" fontId="1" fillId="0" borderId="0" xfId="0" applyFont="1" applyBorder="1"/>
    <xf numFmtId="0" fontId="3" fillId="0" borderId="0" xfId="0" applyFont="1"/>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0" xfId="0" applyFont="1" applyFill="1" applyAlignment="1">
      <alignment horizontal="center" vertical="top" wrapText="1"/>
    </xf>
    <xf numFmtId="0" fontId="3" fillId="0" borderId="0" xfId="0" applyFont="1" applyFill="1"/>
    <xf numFmtId="0" fontId="4" fillId="0" borderId="0" xfId="0" applyFont="1" applyFill="1" applyBorder="1"/>
    <xf numFmtId="0" fontId="5" fillId="0" borderId="0" xfId="0" applyFont="1"/>
    <xf numFmtId="0" fontId="5" fillId="0" borderId="0" xfId="0" applyFont="1" applyFill="1"/>
    <xf numFmtId="0" fontId="5" fillId="0" borderId="0" xfId="0" applyFont="1" applyAlignment="1">
      <alignment wrapText="1"/>
    </xf>
    <xf numFmtId="0" fontId="5" fillId="0" borderId="1"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applyAlignment="1">
      <alignment horizontal="center"/>
    </xf>
    <xf numFmtId="0" fontId="5" fillId="0" borderId="5" xfId="0" applyFont="1" applyBorder="1"/>
    <xf numFmtId="0" fontId="5" fillId="0" borderId="6" xfId="0" applyFont="1" applyBorder="1" applyAlignment="1">
      <alignment horizontal="center"/>
    </xf>
    <xf numFmtId="0" fontId="5" fillId="0" borderId="7" xfId="0" applyFont="1" applyBorder="1"/>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35" xfId="0" applyFont="1" applyBorder="1" applyAlignment="1">
      <alignment horizontal="center"/>
    </xf>
    <xf numFmtId="0" fontId="5" fillId="0" borderId="15" xfId="0" applyFont="1" applyFill="1" applyBorder="1"/>
    <xf numFmtId="164" fontId="2" fillId="0" borderId="16" xfId="0" applyNumberFormat="1" applyFont="1" applyFill="1" applyBorder="1" applyAlignment="1">
      <alignment horizontal="center"/>
    </xf>
    <xf numFmtId="164" fontId="2" fillId="0" borderId="17" xfId="0" applyNumberFormat="1" applyFont="1" applyFill="1" applyBorder="1" applyAlignment="1">
      <alignment horizontal="center"/>
    </xf>
    <xf numFmtId="164" fontId="2" fillId="0" borderId="4" xfId="0" applyNumberFormat="1" applyFont="1" applyFill="1" applyBorder="1" applyAlignment="1">
      <alignment horizontal="center"/>
    </xf>
    <xf numFmtId="164" fontId="2" fillId="0" borderId="19" xfId="0" applyNumberFormat="1" applyFont="1" applyFill="1" applyBorder="1" applyAlignment="1">
      <alignment horizontal="center"/>
    </xf>
    <xf numFmtId="1" fontId="2" fillId="0" borderId="20"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37" xfId="0" applyNumberFormat="1" applyFont="1" applyFill="1" applyBorder="1" applyAlignment="1">
      <alignment horizontal="center"/>
    </xf>
    <xf numFmtId="0" fontId="5" fillId="0" borderId="18" xfId="0" applyFont="1" applyFill="1" applyBorder="1"/>
    <xf numFmtId="164" fontId="2" fillId="0" borderId="23" xfId="0" applyNumberFormat="1" applyFont="1" applyFill="1" applyBorder="1" applyAlignment="1">
      <alignment horizontal="center"/>
    </xf>
    <xf numFmtId="1" fontId="2" fillId="0" borderId="24" xfId="0" applyNumberFormat="1" applyFont="1" applyFill="1" applyBorder="1" applyAlignment="1">
      <alignment horizontal="center"/>
    </xf>
    <xf numFmtId="1" fontId="2" fillId="0" borderId="23" xfId="0" applyNumberFormat="1" applyFont="1" applyFill="1" applyBorder="1" applyAlignment="1">
      <alignment horizontal="center"/>
    </xf>
    <xf numFmtId="4" fontId="2" fillId="0" borderId="22" xfId="0" applyNumberFormat="1" applyFont="1" applyFill="1" applyBorder="1" applyAlignment="1">
      <alignment horizontal="center"/>
    </xf>
    <xf numFmtId="0" fontId="5" fillId="0" borderId="28" xfId="0" applyFont="1" applyFill="1" applyBorder="1"/>
    <xf numFmtId="164" fontId="2" fillId="0" borderId="25" xfId="0" applyNumberFormat="1" applyFont="1" applyFill="1" applyBorder="1" applyAlignment="1">
      <alignment horizontal="center"/>
    </xf>
    <xf numFmtId="164" fontId="2" fillId="0" borderId="26" xfId="0" applyNumberFormat="1" applyFont="1" applyFill="1" applyBorder="1" applyAlignment="1">
      <alignment horizontal="center"/>
    </xf>
    <xf numFmtId="164" fontId="2" fillId="0" borderId="27"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26" xfId="0" applyNumberFormat="1" applyFont="1" applyFill="1" applyBorder="1" applyAlignment="1">
      <alignment horizontal="center"/>
    </xf>
    <xf numFmtId="4" fontId="2" fillId="0" borderId="25" xfId="0" applyNumberFormat="1" applyFont="1" applyFill="1" applyBorder="1" applyAlignment="1">
      <alignment horizontal="center"/>
    </xf>
    <xf numFmtId="0" fontId="2" fillId="0" borderId="18" xfId="0" applyFont="1" applyFill="1" applyBorder="1"/>
    <xf numFmtId="0" fontId="5" fillId="0" borderId="30" xfId="0" applyFont="1" applyFill="1" applyBorder="1"/>
    <xf numFmtId="164" fontId="5" fillId="0" borderId="0" xfId="0" applyNumberFormat="1" applyFont="1"/>
    <xf numFmtId="0" fontId="8" fillId="0" borderId="0" xfId="0" applyFont="1" applyFill="1"/>
    <xf numFmtId="49" fontId="5" fillId="0" borderId="0" xfId="0" applyNumberFormat="1" applyFont="1" applyAlignment="1">
      <alignment vertical="top" wrapText="1"/>
    </xf>
    <xf numFmtId="0" fontId="5" fillId="0" borderId="1" xfId="0" applyFont="1" applyFill="1" applyBorder="1" applyAlignment="1">
      <alignment horizontal="center"/>
    </xf>
    <xf numFmtId="0" fontId="5" fillId="0" borderId="2" xfId="0" applyFont="1" applyFill="1" applyBorder="1"/>
    <xf numFmtId="0" fontId="5" fillId="0" borderId="3" xfId="0" applyFont="1" applyFill="1" applyBorder="1"/>
    <xf numFmtId="0" fontId="5" fillId="0" borderId="4" xfId="0" applyFont="1" applyFill="1" applyBorder="1" applyAlignment="1">
      <alignment horizontal="center"/>
    </xf>
    <xf numFmtId="0" fontId="5" fillId="0" borderId="5" xfId="0" applyFont="1" applyFill="1" applyBorder="1"/>
    <xf numFmtId="0" fontId="5" fillId="0" borderId="6" xfId="0" applyFont="1" applyFill="1" applyBorder="1" applyAlignment="1">
      <alignment horizontal="center"/>
    </xf>
    <xf numFmtId="0" fontId="5" fillId="0" borderId="7" xfId="0" applyFont="1" applyFill="1" applyBorder="1"/>
    <xf numFmtId="0" fontId="5" fillId="0" borderId="7" xfId="0" applyFont="1" applyFill="1" applyBorder="1" applyAlignment="1">
      <alignment horizontal="center"/>
    </xf>
    <xf numFmtId="0" fontId="5" fillId="0" borderId="8" xfId="0" applyFont="1" applyFill="1" applyBorder="1" applyAlignment="1">
      <alignment horizontal="center"/>
    </xf>
    <xf numFmtId="49" fontId="5" fillId="0" borderId="0" xfId="0" applyNumberFormat="1" applyFont="1" applyFill="1" applyAlignment="1">
      <alignment vertical="top" wrapText="1"/>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35" xfId="0" applyFont="1" applyFill="1" applyBorder="1" applyAlignment="1">
      <alignment horizontal="center"/>
    </xf>
    <xf numFmtId="0" fontId="5" fillId="0" borderId="0" xfId="0" applyFont="1" applyFill="1" applyAlignment="1">
      <alignment horizontal="center" wrapText="1"/>
    </xf>
    <xf numFmtId="164" fontId="4" fillId="0" borderId="16" xfId="0" applyNumberFormat="1" applyFont="1" applyFill="1" applyBorder="1" applyAlignment="1">
      <alignment horizontal="center"/>
    </xf>
    <xf numFmtId="164" fontId="4" fillId="0" borderId="17" xfId="0" applyNumberFormat="1" applyFont="1" applyFill="1" applyBorder="1" applyAlignment="1">
      <alignment horizontal="center"/>
    </xf>
    <xf numFmtId="164" fontId="4" fillId="0" borderId="4" xfId="0" applyNumberFormat="1" applyFont="1" applyFill="1" applyBorder="1" applyAlignment="1">
      <alignment horizontal="center"/>
    </xf>
    <xf numFmtId="1" fontId="4" fillId="0" borderId="36" xfId="0" applyNumberFormat="1" applyFont="1" applyFill="1" applyBorder="1" applyAlignment="1">
      <alignment horizontal="center"/>
    </xf>
    <xf numFmtId="164" fontId="4" fillId="0" borderId="19" xfId="0" applyNumberFormat="1" applyFont="1" applyFill="1" applyBorder="1" applyAlignment="1">
      <alignment horizontal="center"/>
    </xf>
    <xf numFmtId="1" fontId="4" fillId="0" borderId="20" xfId="0" applyNumberFormat="1" applyFont="1" applyFill="1" applyBorder="1" applyAlignment="1">
      <alignment horizontal="center"/>
    </xf>
    <xf numFmtId="1" fontId="4" fillId="0" borderId="21" xfId="0" applyNumberFormat="1" applyFont="1" applyFill="1" applyBorder="1" applyAlignment="1">
      <alignment horizontal="center"/>
    </xf>
    <xf numFmtId="1" fontId="4" fillId="0" borderId="37" xfId="0" applyNumberFormat="1" applyFont="1" applyFill="1" applyBorder="1" applyAlignment="1">
      <alignment horizontal="center"/>
    </xf>
    <xf numFmtId="164" fontId="4" fillId="0" borderId="18" xfId="0" applyNumberFormat="1" applyFont="1" applyFill="1" applyBorder="1" applyAlignment="1">
      <alignment horizontal="center"/>
    </xf>
    <xf numFmtId="0" fontId="4" fillId="0" borderId="0" xfId="0" applyFont="1" applyFill="1" applyAlignment="1">
      <alignment horizontal="left" vertical="top" wrapText="1"/>
    </xf>
    <xf numFmtId="0" fontId="5" fillId="0" borderId="0" xfId="0" applyFont="1" applyFill="1" applyAlignment="1">
      <alignment horizontal="left" wrapText="1"/>
    </xf>
    <xf numFmtId="164" fontId="4" fillId="0" borderId="22" xfId="0" applyNumberFormat="1" applyFont="1" applyFill="1" applyBorder="1" applyAlignment="1">
      <alignment horizontal="center"/>
    </xf>
    <xf numFmtId="164" fontId="4" fillId="0" borderId="23" xfId="0" applyNumberFormat="1" applyFont="1" applyFill="1" applyBorder="1" applyAlignment="1">
      <alignment horizontal="center"/>
    </xf>
    <xf numFmtId="164" fontId="4" fillId="0" borderId="14" xfId="0" applyNumberFormat="1" applyFont="1" applyFill="1" applyBorder="1" applyAlignment="1">
      <alignment horizontal="center"/>
    </xf>
    <xf numFmtId="1" fontId="4" fillId="0" borderId="18" xfId="0" applyNumberFormat="1" applyFont="1" applyFill="1" applyBorder="1" applyAlignment="1">
      <alignment horizontal="center"/>
    </xf>
    <xf numFmtId="1" fontId="4" fillId="0" borderId="24" xfId="0" applyNumberFormat="1" applyFont="1" applyFill="1" applyBorder="1" applyAlignment="1">
      <alignment horizontal="center"/>
    </xf>
    <xf numFmtId="1" fontId="4" fillId="0" borderId="23" xfId="0" applyNumberFormat="1" applyFont="1" applyFill="1" applyBorder="1" applyAlignment="1">
      <alignment horizontal="center"/>
    </xf>
    <xf numFmtId="4" fontId="4" fillId="0" borderId="22" xfId="0" applyNumberFormat="1" applyFont="1" applyFill="1" applyBorder="1" applyAlignment="1">
      <alignment horizontal="center"/>
    </xf>
    <xf numFmtId="0" fontId="4" fillId="0" borderId="18" xfId="0" applyFont="1" applyFill="1" applyBorder="1"/>
    <xf numFmtId="164" fontId="4" fillId="0" borderId="28" xfId="0" applyNumberFormat="1" applyFont="1" applyFill="1" applyBorder="1" applyAlignment="1">
      <alignment horizontal="center"/>
    </xf>
    <xf numFmtId="3" fontId="4" fillId="0" borderId="24" xfId="0" applyNumberFormat="1" applyFont="1" applyFill="1" applyBorder="1" applyAlignment="1">
      <alignment horizontal="center"/>
    </xf>
    <xf numFmtId="3" fontId="4" fillId="0" borderId="23" xfId="0" applyNumberFormat="1" applyFont="1" applyFill="1" applyBorder="1" applyAlignment="1">
      <alignment horizontal="center"/>
    </xf>
    <xf numFmtId="0" fontId="4" fillId="0" borderId="18" xfId="0" applyFont="1" applyFill="1" applyBorder="1" applyAlignment="1">
      <alignment horizontal="left"/>
    </xf>
    <xf numFmtId="0" fontId="5" fillId="0" borderId="38" xfId="0" applyFont="1" applyFill="1" applyBorder="1"/>
    <xf numFmtId="164" fontId="4" fillId="0" borderId="25" xfId="0" applyNumberFormat="1" applyFont="1" applyFill="1" applyBorder="1" applyAlignment="1">
      <alignment horizontal="center"/>
    </xf>
    <xf numFmtId="164" fontId="4" fillId="0" borderId="26" xfId="0" applyNumberFormat="1" applyFont="1" applyFill="1" applyBorder="1" applyAlignment="1">
      <alignment horizontal="center"/>
    </xf>
    <xf numFmtId="164" fontId="4" fillId="0" borderId="27" xfId="0" applyNumberFormat="1" applyFont="1" applyFill="1" applyBorder="1" applyAlignment="1">
      <alignment horizontal="center"/>
    </xf>
    <xf numFmtId="1" fontId="4" fillId="0" borderId="28" xfId="0" applyNumberFormat="1" applyFont="1" applyFill="1" applyBorder="1" applyAlignment="1">
      <alignment horizontal="center"/>
    </xf>
    <xf numFmtId="1" fontId="4" fillId="0" borderId="29" xfId="0" applyNumberFormat="1" applyFont="1" applyFill="1" applyBorder="1" applyAlignment="1">
      <alignment horizontal="center"/>
    </xf>
    <xf numFmtId="1" fontId="4" fillId="0" borderId="26" xfId="0" applyNumberFormat="1" applyFont="1" applyFill="1" applyBorder="1" applyAlignment="1">
      <alignment horizontal="center"/>
    </xf>
    <xf numFmtId="4" fontId="4" fillId="0" borderId="25" xfId="0" applyNumberFormat="1" applyFont="1" applyFill="1" applyBorder="1" applyAlignment="1">
      <alignment horizontal="center"/>
    </xf>
    <xf numFmtId="1" fontId="4" fillId="0" borderId="14" xfId="0" applyNumberFormat="1" applyFont="1" applyFill="1" applyBorder="1" applyAlignment="1">
      <alignment horizontal="center"/>
    </xf>
    <xf numFmtId="0" fontId="4" fillId="0" borderId="24" xfId="0" applyFont="1" applyFill="1" applyBorder="1" applyAlignment="1">
      <alignment horizontal="center"/>
    </xf>
    <xf numFmtId="0" fontId="4" fillId="0" borderId="14" xfId="0" applyFont="1" applyFill="1" applyBorder="1" applyAlignment="1">
      <alignment horizontal="center"/>
    </xf>
    <xf numFmtId="0" fontId="4" fillId="0" borderId="22" xfId="0" applyFont="1" applyFill="1" applyBorder="1" applyAlignment="1">
      <alignment horizontal="center"/>
    </xf>
    <xf numFmtId="0" fontId="4" fillId="0" borderId="0" xfId="0" applyFont="1" applyFill="1" applyAlignment="1">
      <alignment horizontal="left" wrapText="1"/>
    </xf>
    <xf numFmtId="0" fontId="4" fillId="0" borderId="30" xfId="0" applyFont="1" applyFill="1" applyBorder="1"/>
    <xf numFmtId="164" fontId="4" fillId="0" borderId="31" xfId="0" applyNumberFormat="1" applyFont="1" applyFill="1" applyBorder="1" applyAlignment="1">
      <alignment horizontal="center"/>
    </xf>
    <xf numFmtId="164" fontId="4" fillId="0" borderId="32" xfId="0" applyNumberFormat="1" applyFont="1" applyFill="1" applyBorder="1" applyAlignment="1">
      <alignment horizontal="center"/>
    </xf>
    <xf numFmtId="164" fontId="4" fillId="0" borderId="30" xfId="0" applyNumberFormat="1" applyFont="1" applyFill="1" applyBorder="1" applyAlignment="1">
      <alignment horizontal="center"/>
    </xf>
    <xf numFmtId="1" fontId="4" fillId="0" borderId="30" xfId="0" applyNumberFormat="1" applyFont="1" applyFill="1" applyBorder="1" applyAlignment="1">
      <alignment horizontal="center"/>
    </xf>
    <xf numFmtId="0" fontId="4" fillId="0" borderId="33" xfId="0" applyFont="1" applyFill="1" applyBorder="1" applyAlignment="1">
      <alignment horizontal="center"/>
    </xf>
    <xf numFmtId="0" fontId="4" fillId="0" borderId="32" xfId="0" applyFont="1" applyFill="1" applyBorder="1" applyAlignment="1">
      <alignment horizontal="center"/>
    </xf>
    <xf numFmtId="0" fontId="4" fillId="0" borderId="31" xfId="0" applyFont="1" applyFill="1" applyBorder="1" applyAlignment="1">
      <alignment horizontal="center"/>
    </xf>
    <xf numFmtId="3" fontId="2" fillId="0" borderId="18" xfId="0" applyNumberFormat="1" applyFont="1" applyFill="1" applyBorder="1" applyAlignment="1">
      <alignment horizontal="center"/>
    </xf>
    <xf numFmtId="0" fontId="2" fillId="2" borderId="0" xfId="0" applyFont="1" applyFill="1" applyAlignment="1">
      <alignment horizontal="left" wrapText="1"/>
    </xf>
    <xf numFmtId="165" fontId="2" fillId="0" borderId="14" xfId="0" applyNumberFormat="1" applyFont="1" applyFill="1" applyBorder="1" applyAlignment="1">
      <alignment horizontal="center"/>
    </xf>
    <xf numFmtId="166" fontId="2" fillId="0" borderId="22" xfId="0" applyNumberFormat="1" applyFont="1" applyFill="1" applyBorder="1" applyAlignment="1">
      <alignment horizontal="center"/>
    </xf>
    <xf numFmtId="164" fontId="2" fillId="0" borderId="22" xfId="0" applyNumberFormat="1" applyFont="1" applyFill="1" applyBorder="1" applyAlignment="1">
      <alignment horizontal="left"/>
    </xf>
    <xf numFmtId="3" fontId="2" fillId="0" borderId="28" xfId="0" applyNumberFormat="1" applyFont="1" applyFill="1" applyBorder="1" applyAlignment="1">
      <alignment horizontal="center"/>
    </xf>
    <xf numFmtId="0" fontId="5" fillId="0" borderId="34" xfId="0" applyFont="1" applyBorder="1"/>
    <xf numFmtId="0" fontId="5" fillId="0" borderId="34" xfId="0" applyFont="1" applyFill="1" applyBorder="1"/>
    <xf numFmtId="0" fontId="5" fillId="0" borderId="0" xfId="0" applyFont="1" applyFill="1" applyBorder="1"/>
    <xf numFmtId="0" fontId="5" fillId="0" borderId="0"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40"/>
  <sheetViews>
    <sheetView tabSelected="1" zoomScale="96" zoomScaleNormal="96" workbookViewId="0">
      <selection activeCell="F19" sqref="F19"/>
    </sheetView>
  </sheetViews>
  <sheetFormatPr defaultRowHeight="15"/>
  <cols>
    <col min="1" max="1" width="20.85546875" style="35" customWidth="1"/>
    <col min="2" max="2" width="9" style="35" customWidth="1"/>
    <col min="3" max="3" width="9.140625" style="35"/>
    <col min="4" max="4" width="8.7109375" style="35" customWidth="1"/>
    <col min="5" max="5" width="8.42578125" style="35" customWidth="1"/>
    <col min="6" max="6" width="7" style="35" customWidth="1"/>
    <col min="7" max="7" width="6.42578125" style="35" customWidth="1"/>
    <col min="8" max="8" width="7.140625" style="35" customWidth="1"/>
    <col min="9" max="10" width="6.42578125" style="35" customWidth="1"/>
    <col min="11" max="11" width="7.140625" style="35" customWidth="1"/>
    <col min="12" max="12" width="6.42578125" style="35" customWidth="1"/>
    <col min="13" max="13" width="12.85546875" style="35" customWidth="1"/>
    <col min="14" max="14" width="14.7109375" style="35" customWidth="1"/>
    <col min="15" max="15" width="10.85546875" style="35" bestFit="1" customWidth="1"/>
    <col min="16" max="16" width="16.5703125" style="35" bestFit="1" customWidth="1"/>
    <col min="17" max="18" width="9.7109375" style="35" customWidth="1"/>
    <col min="19" max="19" width="166.140625" style="35" customWidth="1"/>
    <col min="20" max="16384" width="9.140625" style="35"/>
  </cols>
  <sheetData>
    <row r="1" spans="1:19">
      <c r="B1" s="36">
        <v>2014</v>
      </c>
      <c r="C1" s="36" t="s">
        <v>38</v>
      </c>
      <c r="D1" s="36"/>
      <c r="E1" s="36"/>
      <c r="F1" s="36"/>
      <c r="G1" s="36"/>
      <c r="H1" s="36"/>
      <c r="I1" s="36"/>
      <c r="J1" s="36"/>
      <c r="K1" s="36"/>
      <c r="L1" s="36"/>
      <c r="M1" s="36"/>
      <c r="N1" s="36"/>
      <c r="O1" s="36"/>
      <c r="P1" s="36"/>
      <c r="Q1" s="36"/>
      <c r="S1" s="37"/>
    </row>
    <row r="2" spans="1:19">
      <c r="B2" s="36"/>
      <c r="C2" s="36" t="s">
        <v>0</v>
      </c>
      <c r="D2" s="36"/>
      <c r="E2" s="36"/>
      <c r="F2" s="36"/>
      <c r="G2" s="36"/>
      <c r="H2" s="36"/>
      <c r="I2" s="36"/>
      <c r="J2" s="36"/>
      <c r="K2" s="36"/>
      <c r="L2" s="36"/>
      <c r="M2" s="36"/>
      <c r="N2" s="36"/>
      <c r="O2" s="36"/>
      <c r="P2" s="36"/>
      <c r="Q2" s="36"/>
      <c r="S2" s="37"/>
    </row>
    <row r="3" spans="1:19">
      <c r="B3" s="1" t="s">
        <v>1</v>
      </c>
      <c r="C3" s="36"/>
      <c r="D3" s="36"/>
      <c r="E3" s="36"/>
      <c r="F3" s="36"/>
      <c r="G3" s="36"/>
      <c r="H3" s="36"/>
      <c r="I3" s="36"/>
      <c r="J3" s="36"/>
      <c r="K3" s="36"/>
      <c r="L3" s="36"/>
      <c r="M3" s="36"/>
      <c r="N3" s="36"/>
      <c r="O3" s="36"/>
      <c r="P3" s="36"/>
      <c r="Q3" s="36"/>
      <c r="S3" s="37"/>
    </row>
    <row r="4" spans="1:19" ht="15" customHeight="1">
      <c r="B4" s="36"/>
      <c r="C4" s="1" t="s">
        <v>2</v>
      </c>
      <c r="D4" s="1"/>
      <c r="E4" s="36"/>
      <c r="F4" s="36"/>
      <c r="G4" s="36"/>
      <c r="H4" s="36"/>
      <c r="I4" s="36"/>
      <c r="J4" s="36"/>
      <c r="K4" s="36"/>
      <c r="L4" s="36"/>
      <c r="M4" s="36"/>
      <c r="N4" s="36"/>
      <c r="O4" s="36"/>
      <c r="P4" s="36"/>
      <c r="Q4" s="36"/>
      <c r="S4" s="37"/>
    </row>
    <row r="5" spans="1:19" ht="15.75" thickBot="1">
      <c r="B5" s="36" t="s">
        <v>64</v>
      </c>
      <c r="C5" s="1"/>
      <c r="D5" s="1"/>
      <c r="E5" s="36"/>
      <c r="F5" s="36"/>
      <c r="G5" s="36"/>
      <c r="H5" s="36"/>
      <c r="I5" s="36"/>
      <c r="J5" s="36"/>
      <c r="K5" s="36"/>
      <c r="L5" s="36"/>
      <c r="M5" s="36"/>
      <c r="N5" s="36"/>
      <c r="O5" s="36"/>
      <c r="P5" s="36"/>
      <c r="Q5" s="36"/>
      <c r="S5" s="4" t="s">
        <v>3</v>
      </c>
    </row>
    <row r="6" spans="1:19" ht="15.75" thickBot="1">
      <c r="A6" s="38" t="s">
        <v>4</v>
      </c>
      <c r="B6" s="79" t="s">
        <v>5</v>
      </c>
      <c r="C6" s="79"/>
      <c r="D6" s="80" t="s">
        <v>6</v>
      </c>
      <c r="E6" s="81"/>
      <c r="F6" s="82"/>
      <c r="G6" s="83" t="s">
        <v>7</v>
      </c>
      <c r="H6" s="84"/>
      <c r="I6" s="82"/>
      <c r="J6" s="83" t="s">
        <v>8</v>
      </c>
      <c r="K6" s="84"/>
      <c r="L6" s="82" t="s">
        <v>9</v>
      </c>
      <c r="M6" s="85"/>
      <c r="N6" s="24" t="s">
        <v>10</v>
      </c>
      <c r="O6" s="3" t="s">
        <v>11</v>
      </c>
      <c r="P6" s="3" t="s">
        <v>12</v>
      </c>
      <c r="Q6" s="3" t="s">
        <v>13</v>
      </c>
      <c r="R6" s="3" t="s">
        <v>13</v>
      </c>
      <c r="S6" s="25"/>
    </row>
    <row r="7" spans="1:19" ht="1.5" customHeight="1" thickBot="1">
      <c r="A7" s="47" t="s">
        <v>14</v>
      </c>
      <c r="B7" s="89" t="s">
        <v>15</v>
      </c>
      <c r="C7" s="90" t="s">
        <v>16</v>
      </c>
      <c r="D7" s="91" t="s">
        <v>17</v>
      </c>
      <c r="E7" s="88" t="s">
        <v>18</v>
      </c>
      <c r="F7" s="89" t="s">
        <v>17</v>
      </c>
      <c r="G7" s="92" t="s">
        <v>19</v>
      </c>
      <c r="H7" s="90" t="s">
        <v>20</v>
      </c>
      <c r="I7" s="89" t="s">
        <v>17</v>
      </c>
      <c r="J7" s="92" t="s">
        <v>19</v>
      </c>
      <c r="K7" s="90" t="s">
        <v>20</v>
      </c>
      <c r="L7" s="89" t="s">
        <v>17</v>
      </c>
      <c r="M7" s="11" t="s">
        <v>21</v>
      </c>
      <c r="N7" s="88" t="s">
        <v>22</v>
      </c>
      <c r="O7" s="26" t="s">
        <v>23</v>
      </c>
      <c r="P7" s="26" t="s">
        <v>24</v>
      </c>
      <c r="Q7" s="26" t="s">
        <v>11</v>
      </c>
      <c r="R7" s="5" t="s">
        <v>25</v>
      </c>
      <c r="S7" s="25"/>
    </row>
    <row r="8" spans="1:19" ht="15" customHeight="1">
      <c r="A8" s="53" t="s">
        <v>193</v>
      </c>
      <c r="B8" s="54"/>
      <c r="C8" s="55">
        <v>0</v>
      </c>
      <c r="D8" s="56">
        <v>1.75</v>
      </c>
      <c r="E8" s="139">
        <v>1000</v>
      </c>
      <c r="F8" s="57"/>
      <c r="G8" s="58"/>
      <c r="H8" s="59"/>
      <c r="I8" s="57"/>
      <c r="J8" s="58"/>
      <c r="K8" s="59"/>
      <c r="L8" s="54"/>
      <c r="M8" s="11"/>
      <c r="N8" s="7">
        <f t="shared" ref="N8:N14" si="0">C8 +(D8*15)</f>
        <v>26.25</v>
      </c>
      <c r="O8" s="7">
        <v>10.61</v>
      </c>
      <c r="P8" s="7">
        <v>75.75</v>
      </c>
      <c r="Q8" s="7">
        <f>O8+P8</f>
        <v>86.36</v>
      </c>
      <c r="R8" s="27">
        <f>N8+Q8</f>
        <v>112.61</v>
      </c>
      <c r="S8" s="25" t="s">
        <v>194</v>
      </c>
    </row>
    <row r="9" spans="1:19">
      <c r="A9" s="61" t="s">
        <v>92</v>
      </c>
      <c r="B9" s="8"/>
      <c r="C9" s="62">
        <v>1.5</v>
      </c>
      <c r="D9" s="9">
        <v>3</v>
      </c>
      <c r="E9" s="139">
        <v>1000</v>
      </c>
      <c r="F9" s="8"/>
      <c r="G9" s="63"/>
      <c r="H9" s="64"/>
      <c r="I9" s="65"/>
      <c r="J9" s="63"/>
      <c r="K9" s="64"/>
      <c r="L9" s="8"/>
      <c r="M9" s="11"/>
      <c r="N9" s="7">
        <f>C9 +(D9*15)</f>
        <v>46.5</v>
      </c>
      <c r="O9" s="7">
        <v>10.61</v>
      </c>
      <c r="P9" s="7">
        <v>75.75</v>
      </c>
      <c r="Q9" s="7">
        <f t="shared" ref="Q9:Q33" si="1">O9+P9</f>
        <v>86.36</v>
      </c>
      <c r="R9" s="27">
        <f t="shared" ref="R9:R33" si="2">N9+Q9</f>
        <v>132.86000000000001</v>
      </c>
      <c r="S9" s="140" t="s">
        <v>151</v>
      </c>
    </row>
    <row r="10" spans="1:19">
      <c r="A10" s="61" t="s">
        <v>50</v>
      </c>
      <c r="B10" s="8"/>
      <c r="C10" s="62">
        <v>1.5</v>
      </c>
      <c r="D10" s="9">
        <v>4.5</v>
      </c>
      <c r="E10" s="139">
        <v>1000</v>
      </c>
      <c r="F10" s="8"/>
      <c r="G10" s="63"/>
      <c r="H10" s="64"/>
      <c r="I10" s="65"/>
      <c r="J10" s="63"/>
      <c r="K10" s="64"/>
      <c r="L10" s="8"/>
      <c r="M10" s="11"/>
      <c r="N10" s="7">
        <f t="shared" si="0"/>
        <v>69</v>
      </c>
      <c r="O10" s="7">
        <v>10.61</v>
      </c>
      <c r="P10" s="7">
        <v>75.75</v>
      </c>
      <c r="Q10" s="7">
        <f t="shared" si="1"/>
        <v>86.36</v>
      </c>
      <c r="R10" s="27">
        <f t="shared" si="2"/>
        <v>155.36000000000001</v>
      </c>
      <c r="S10" s="140" t="s">
        <v>102</v>
      </c>
    </row>
    <row r="11" spans="1:19">
      <c r="A11" s="61" t="s">
        <v>114</v>
      </c>
      <c r="B11" s="8"/>
      <c r="C11" s="62">
        <v>1.5</v>
      </c>
      <c r="D11" s="9">
        <v>3.5</v>
      </c>
      <c r="E11" s="139">
        <v>1000</v>
      </c>
      <c r="F11" s="8"/>
      <c r="G11" s="63"/>
      <c r="H11" s="64"/>
      <c r="I11" s="65"/>
      <c r="J11" s="63"/>
      <c r="K11" s="64"/>
      <c r="L11" s="8"/>
      <c r="M11" s="11"/>
      <c r="N11" s="7">
        <f t="shared" si="0"/>
        <v>54</v>
      </c>
      <c r="O11" s="7">
        <v>10.61</v>
      </c>
      <c r="P11" s="7">
        <v>75.75</v>
      </c>
      <c r="Q11" s="7">
        <f t="shared" si="1"/>
        <v>86.36</v>
      </c>
      <c r="R11" s="27">
        <f t="shared" si="2"/>
        <v>140.36000000000001</v>
      </c>
      <c r="S11" s="140" t="s">
        <v>113</v>
      </c>
    </row>
    <row r="12" spans="1:19">
      <c r="A12" s="61" t="s">
        <v>26</v>
      </c>
      <c r="B12" s="8"/>
      <c r="C12" s="62">
        <v>0</v>
      </c>
      <c r="D12" s="9">
        <f>68-10.61-(8*5.05)</f>
        <v>16.990000000000002</v>
      </c>
      <c r="E12" s="139">
        <v>8000</v>
      </c>
      <c r="F12" s="8">
        <f>8.5-5.05</f>
        <v>3.45</v>
      </c>
      <c r="G12" s="63">
        <v>8001</v>
      </c>
      <c r="H12" s="64"/>
      <c r="I12" s="65"/>
      <c r="J12" s="63"/>
      <c r="K12" s="64"/>
      <c r="L12" s="8"/>
      <c r="M12" s="11"/>
      <c r="N12" s="7">
        <f>D12+(F12*7)</f>
        <v>41.14</v>
      </c>
      <c r="O12" s="7">
        <v>10.61</v>
      </c>
      <c r="P12" s="7">
        <v>75.75</v>
      </c>
      <c r="Q12" s="7">
        <f t="shared" si="1"/>
        <v>86.36</v>
      </c>
      <c r="R12" s="27">
        <f t="shared" si="2"/>
        <v>127.5</v>
      </c>
      <c r="S12" s="10" t="s">
        <v>108</v>
      </c>
    </row>
    <row r="13" spans="1:19" ht="26.25">
      <c r="A13" s="61" t="s">
        <v>91</v>
      </c>
      <c r="B13" s="8"/>
      <c r="C13" s="62">
        <v>5.31</v>
      </c>
      <c r="D13" s="141">
        <v>2.5299999999999998</v>
      </c>
      <c r="E13" s="139">
        <v>1000</v>
      </c>
      <c r="F13" s="8"/>
      <c r="G13" s="63"/>
      <c r="H13" s="64"/>
      <c r="I13" s="65"/>
      <c r="J13" s="63"/>
      <c r="K13" s="64"/>
      <c r="L13" s="8"/>
      <c r="M13" s="11"/>
      <c r="N13" s="7">
        <f>C13 +(D13*15)</f>
        <v>43.26</v>
      </c>
      <c r="O13" s="7">
        <v>10.61</v>
      </c>
      <c r="P13" s="7">
        <v>75.75</v>
      </c>
      <c r="Q13" s="7">
        <f t="shared" si="1"/>
        <v>86.36</v>
      </c>
      <c r="R13" s="27">
        <f t="shared" si="2"/>
        <v>129.62</v>
      </c>
      <c r="S13" s="140" t="s">
        <v>147</v>
      </c>
    </row>
    <row r="14" spans="1:19">
      <c r="A14" s="73" t="s">
        <v>65</v>
      </c>
      <c r="B14" s="8"/>
      <c r="C14" s="62">
        <v>1.5</v>
      </c>
      <c r="D14" s="9">
        <v>4.7</v>
      </c>
      <c r="E14" s="139">
        <v>1000</v>
      </c>
      <c r="F14" s="8"/>
      <c r="G14" s="63"/>
      <c r="H14" s="64"/>
      <c r="I14" s="65"/>
      <c r="J14" s="63"/>
      <c r="K14" s="64"/>
      <c r="L14" s="142">
        <v>0.03</v>
      </c>
      <c r="M14" s="9">
        <f>(N14+Q14)*0.03</f>
        <v>4.7507999999999999</v>
      </c>
      <c r="N14" s="7">
        <f t="shared" si="0"/>
        <v>72</v>
      </c>
      <c r="O14" s="7">
        <v>10.61</v>
      </c>
      <c r="P14" s="7">
        <v>75.75</v>
      </c>
      <c r="Q14" s="7">
        <f t="shared" si="1"/>
        <v>86.36</v>
      </c>
      <c r="R14" s="27">
        <f>N14+Q14+M14</f>
        <v>163.11080000000001</v>
      </c>
      <c r="S14" s="140" t="s">
        <v>177</v>
      </c>
    </row>
    <row r="15" spans="1:19">
      <c r="A15" s="61" t="s">
        <v>90</v>
      </c>
      <c r="B15" s="8"/>
      <c r="C15" s="62">
        <v>0</v>
      </c>
      <c r="D15" s="9">
        <v>4.75</v>
      </c>
      <c r="E15" s="139">
        <v>1000</v>
      </c>
      <c r="F15" s="8"/>
      <c r="G15" s="63"/>
      <c r="H15" s="64"/>
      <c r="I15" s="65"/>
      <c r="J15" s="63"/>
      <c r="K15" s="64"/>
      <c r="L15" s="8"/>
      <c r="M15" s="11"/>
      <c r="N15" s="7">
        <f>C15 +(D15*15)</f>
        <v>71.25</v>
      </c>
      <c r="O15" s="7">
        <v>10.61</v>
      </c>
      <c r="P15" s="7">
        <v>75.75</v>
      </c>
      <c r="Q15" s="7">
        <f t="shared" si="1"/>
        <v>86.36</v>
      </c>
      <c r="R15" s="27">
        <f t="shared" si="2"/>
        <v>157.61000000000001</v>
      </c>
      <c r="S15" s="10" t="s">
        <v>128</v>
      </c>
    </row>
    <row r="16" spans="1:19">
      <c r="A16" s="61" t="s">
        <v>111</v>
      </c>
      <c r="B16" s="8"/>
      <c r="C16" s="62"/>
      <c r="D16" s="9">
        <f>19.68-3.54-(2*5.05)</f>
        <v>6.0400000000000009</v>
      </c>
      <c r="E16" s="139">
        <v>2000</v>
      </c>
      <c r="F16" s="8">
        <f>9.84-5.05</f>
        <v>4.79</v>
      </c>
      <c r="G16" s="63">
        <v>2001</v>
      </c>
      <c r="H16" s="64"/>
      <c r="I16" s="65"/>
      <c r="J16" s="63"/>
      <c r="K16" s="64"/>
      <c r="L16" s="8"/>
      <c r="M16" s="11"/>
      <c r="N16" s="7">
        <f xml:space="preserve"> (D16)+(F16*13)</f>
        <v>68.31</v>
      </c>
      <c r="O16" s="7">
        <v>10.61</v>
      </c>
      <c r="P16" s="7">
        <v>75.75</v>
      </c>
      <c r="Q16" s="7">
        <f t="shared" si="1"/>
        <v>86.36</v>
      </c>
      <c r="R16" s="27">
        <f t="shared" si="2"/>
        <v>154.67000000000002</v>
      </c>
      <c r="S16" s="10" t="s">
        <v>112</v>
      </c>
    </row>
    <row r="17" spans="1:19">
      <c r="A17" s="61" t="s">
        <v>143</v>
      </c>
      <c r="B17" s="8"/>
      <c r="C17" s="62">
        <v>1.5</v>
      </c>
      <c r="D17" s="9">
        <f>6.5-5.05</f>
        <v>1.4500000000000002</v>
      </c>
      <c r="E17" s="139">
        <v>1000</v>
      </c>
      <c r="F17" s="8"/>
      <c r="G17" s="63"/>
      <c r="H17" s="64"/>
      <c r="I17" s="65"/>
      <c r="J17" s="63"/>
      <c r="K17" s="64"/>
      <c r="L17" s="8"/>
      <c r="M17" s="11"/>
      <c r="N17" s="7">
        <f>C17 +(D17*15)</f>
        <v>23.250000000000004</v>
      </c>
      <c r="O17" s="7">
        <v>10.61</v>
      </c>
      <c r="P17" s="7">
        <v>75.75</v>
      </c>
      <c r="Q17" s="7">
        <f t="shared" si="1"/>
        <v>86.36</v>
      </c>
      <c r="R17" s="27">
        <f t="shared" si="2"/>
        <v>109.61</v>
      </c>
      <c r="S17" s="140" t="s">
        <v>144</v>
      </c>
    </row>
    <row r="18" spans="1:19" ht="26.25">
      <c r="A18" s="61" t="s">
        <v>98</v>
      </c>
      <c r="B18" s="8"/>
      <c r="C18" s="62">
        <v>0</v>
      </c>
      <c r="D18" s="9">
        <f>48.8*3-Q18</f>
        <v>60.039999999999978</v>
      </c>
      <c r="E18" s="139" t="s">
        <v>28</v>
      </c>
      <c r="F18" s="143" t="s">
        <v>29</v>
      </c>
      <c r="G18" s="63"/>
      <c r="H18" s="64"/>
      <c r="I18" s="65"/>
      <c r="J18" s="63"/>
      <c r="K18" s="64"/>
      <c r="L18" s="8"/>
      <c r="M18" s="11"/>
      <c r="N18" s="7">
        <f>D18</f>
        <v>60.039999999999978</v>
      </c>
      <c r="O18" s="7">
        <v>10.61</v>
      </c>
      <c r="P18" s="7">
        <v>75.75</v>
      </c>
      <c r="Q18" s="7">
        <f t="shared" si="1"/>
        <v>86.36</v>
      </c>
      <c r="R18" s="27">
        <f t="shared" si="2"/>
        <v>146.39999999999998</v>
      </c>
      <c r="S18" s="140" t="s">
        <v>99</v>
      </c>
    </row>
    <row r="19" spans="1:19">
      <c r="A19" s="61" t="s">
        <v>30</v>
      </c>
      <c r="B19" s="8"/>
      <c r="C19" s="62">
        <v>4.5</v>
      </c>
      <c r="D19" s="9">
        <f>70.2-10.61-(6*5.05)</f>
        <v>29.290000000000006</v>
      </c>
      <c r="E19" s="139">
        <v>6000</v>
      </c>
      <c r="F19" s="8">
        <f>11.7-5.05</f>
        <v>6.6499999999999995</v>
      </c>
      <c r="G19" s="63">
        <v>6001</v>
      </c>
      <c r="H19" s="64"/>
      <c r="I19" s="65"/>
      <c r="J19" s="63"/>
      <c r="K19" s="64"/>
      <c r="L19" s="8"/>
      <c r="M19" s="11"/>
      <c r="N19" s="7">
        <f>C19+D19+(F19*9)</f>
        <v>93.64</v>
      </c>
      <c r="O19" s="7">
        <v>10.61</v>
      </c>
      <c r="P19" s="7">
        <v>75.75</v>
      </c>
      <c r="Q19" s="7">
        <f t="shared" si="1"/>
        <v>86.36</v>
      </c>
      <c r="R19" s="27">
        <f>N19+Q19</f>
        <v>180</v>
      </c>
      <c r="S19" s="140" t="s">
        <v>175</v>
      </c>
    </row>
    <row r="20" spans="1:19">
      <c r="A20" s="61" t="s">
        <v>89</v>
      </c>
      <c r="B20" s="67"/>
      <c r="C20" s="68">
        <v>5.93</v>
      </c>
      <c r="D20" s="69">
        <v>7</v>
      </c>
      <c r="E20" s="144">
        <v>1000</v>
      </c>
      <c r="F20" s="67"/>
      <c r="G20" s="70"/>
      <c r="H20" s="71"/>
      <c r="I20" s="72"/>
      <c r="J20" s="70"/>
      <c r="K20" s="71"/>
      <c r="L20" s="67"/>
      <c r="M20" s="11"/>
      <c r="N20" s="7">
        <f>C20 +(D20*15)</f>
        <v>110.93</v>
      </c>
      <c r="O20" s="7">
        <v>10.61</v>
      </c>
      <c r="P20" s="7">
        <v>75.75</v>
      </c>
      <c r="Q20" s="7">
        <f t="shared" si="1"/>
        <v>86.36</v>
      </c>
      <c r="R20" s="27">
        <f t="shared" si="2"/>
        <v>197.29000000000002</v>
      </c>
      <c r="S20" s="140" t="s">
        <v>203</v>
      </c>
    </row>
    <row r="21" spans="1:19" ht="26.25">
      <c r="A21" s="66" t="s">
        <v>31</v>
      </c>
      <c r="B21" s="8"/>
      <c r="C21" s="9">
        <v>0</v>
      </c>
      <c r="D21" s="7">
        <f>82.28-10.61-(3*5.05)</f>
        <v>56.52</v>
      </c>
      <c r="E21" s="144">
        <v>3000</v>
      </c>
      <c r="F21" s="8">
        <f>6.39-5.05</f>
        <v>1.3399999999999999</v>
      </c>
      <c r="G21" s="63">
        <v>3001</v>
      </c>
      <c r="H21" s="11"/>
      <c r="I21" s="65"/>
      <c r="J21" s="63"/>
      <c r="K21" s="11"/>
      <c r="L21" s="8"/>
      <c r="M21" s="11"/>
      <c r="N21" s="7">
        <f>D21 +(F21*12)</f>
        <v>72.599999999999994</v>
      </c>
      <c r="O21" s="7">
        <v>10.61</v>
      </c>
      <c r="P21" s="7">
        <v>75.75</v>
      </c>
      <c r="Q21" s="7">
        <f t="shared" si="1"/>
        <v>86.36</v>
      </c>
      <c r="R21" s="27">
        <f t="shared" si="2"/>
        <v>158.95999999999998</v>
      </c>
      <c r="S21" s="10" t="s">
        <v>100</v>
      </c>
    </row>
    <row r="22" spans="1:19">
      <c r="A22" s="66" t="s">
        <v>51</v>
      </c>
      <c r="B22" s="8"/>
      <c r="C22" s="9">
        <v>1.5</v>
      </c>
      <c r="D22" s="7">
        <v>1.5</v>
      </c>
      <c r="E22" s="139">
        <v>1000</v>
      </c>
      <c r="F22" s="14"/>
      <c r="G22" s="12"/>
      <c r="H22" s="13"/>
      <c r="I22" s="14"/>
      <c r="J22" s="12"/>
      <c r="K22" s="13"/>
      <c r="L22" s="14"/>
      <c r="M22" s="13"/>
      <c r="N22" s="7">
        <f>C22 +(D22*15)</f>
        <v>24</v>
      </c>
      <c r="O22" s="7">
        <v>10.61</v>
      </c>
      <c r="P22" s="7">
        <v>75.75</v>
      </c>
      <c r="Q22" s="7">
        <f t="shared" si="1"/>
        <v>86.36</v>
      </c>
      <c r="R22" s="27">
        <f t="shared" si="2"/>
        <v>110.36</v>
      </c>
      <c r="S22" s="140" t="s">
        <v>206</v>
      </c>
    </row>
    <row r="23" spans="1:19" ht="30" customHeight="1">
      <c r="A23" s="66" t="s">
        <v>32</v>
      </c>
      <c r="B23" s="8">
        <v>0</v>
      </c>
      <c r="C23" s="9"/>
      <c r="D23" s="7">
        <v>3.72</v>
      </c>
      <c r="E23" s="139">
        <v>1000</v>
      </c>
      <c r="F23" s="14"/>
      <c r="G23" s="12"/>
      <c r="H23" s="13"/>
      <c r="I23" s="14"/>
      <c r="J23" s="12"/>
      <c r="K23" s="13"/>
      <c r="L23" s="14"/>
      <c r="M23" s="13"/>
      <c r="N23" s="7">
        <f>(B23*3)+(D23*15)</f>
        <v>55.800000000000004</v>
      </c>
      <c r="O23" s="7">
        <v>10.61</v>
      </c>
      <c r="P23" s="7">
        <v>75.75</v>
      </c>
      <c r="Q23" s="7">
        <f t="shared" si="1"/>
        <v>86.36</v>
      </c>
      <c r="R23" s="27">
        <f t="shared" si="2"/>
        <v>142.16</v>
      </c>
      <c r="S23" s="10" t="s">
        <v>148</v>
      </c>
    </row>
    <row r="24" spans="1:19">
      <c r="A24" s="61" t="s">
        <v>117</v>
      </c>
      <c r="B24" s="8">
        <v>0</v>
      </c>
      <c r="C24" s="9"/>
      <c r="D24" s="7">
        <f>(27.35*3)-(4.32*5.61)-9.07</f>
        <v>48.744800000000005</v>
      </c>
      <c r="E24" s="139">
        <v>5610</v>
      </c>
      <c r="F24" s="14">
        <f>3.54-4.32</f>
        <v>-0.78000000000000025</v>
      </c>
      <c r="G24" s="12">
        <v>5611</v>
      </c>
      <c r="H24" s="13"/>
      <c r="I24" s="14"/>
      <c r="J24" s="12"/>
      <c r="K24" s="13"/>
      <c r="L24" s="14"/>
      <c r="M24" s="13"/>
      <c r="N24" s="7">
        <f>B24+D24+(F24*(15-5.61))</f>
        <v>41.4206</v>
      </c>
      <c r="O24" s="7">
        <v>10.61</v>
      </c>
      <c r="P24" s="7">
        <v>75.75</v>
      </c>
      <c r="Q24" s="7">
        <f t="shared" si="1"/>
        <v>86.36</v>
      </c>
      <c r="R24" s="27">
        <f t="shared" si="2"/>
        <v>127.78059999999999</v>
      </c>
      <c r="S24" s="10" t="s">
        <v>118</v>
      </c>
    </row>
    <row r="25" spans="1:19">
      <c r="A25" s="61" t="s">
        <v>88</v>
      </c>
      <c r="B25" s="8"/>
      <c r="C25" s="62">
        <f>(3.54)+1.5</f>
        <v>5.04</v>
      </c>
      <c r="D25" s="141">
        <v>1.3</v>
      </c>
      <c r="E25" s="139">
        <v>1000</v>
      </c>
      <c r="F25" s="14"/>
      <c r="G25" s="12"/>
      <c r="H25" s="13"/>
      <c r="I25" s="14"/>
      <c r="J25" s="12"/>
      <c r="K25" s="13"/>
      <c r="L25" s="14"/>
      <c r="M25" s="13"/>
      <c r="N25" s="7">
        <f>C25 +(D25*15)</f>
        <v>24.54</v>
      </c>
      <c r="O25" s="7">
        <v>10.61</v>
      </c>
      <c r="P25" s="7">
        <v>75.75</v>
      </c>
      <c r="Q25" s="7">
        <f t="shared" si="1"/>
        <v>86.36</v>
      </c>
      <c r="R25" s="27">
        <f t="shared" si="2"/>
        <v>110.9</v>
      </c>
      <c r="S25" s="140" t="s">
        <v>204</v>
      </c>
    </row>
    <row r="26" spans="1:19">
      <c r="A26" s="61" t="s">
        <v>173</v>
      </c>
      <c r="B26" s="8" t="s">
        <v>27</v>
      </c>
      <c r="C26" s="9">
        <f>11.78-10.61</f>
        <v>1.17</v>
      </c>
      <c r="D26" s="7">
        <f>5.61-5.05</f>
        <v>0.5600000000000005</v>
      </c>
      <c r="E26" s="139">
        <v>1000</v>
      </c>
      <c r="F26" s="14"/>
      <c r="G26" s="12"/>
      <c r="H26" s="13"/>
      <c r="I26" s="14"/>
      <c r="J26" s="12"/>
      <c r="K26" s="13"/>
      <c r="L26" s="14"/>
      <c r="M26" s="13"/>
      <c r="N26" s="7">
        <f>C26 +(D26*15)</f>
        <v>9.5700000000000074</v>
      </c>
      <c r="O26" s="7">
        <v>10.61</v>
      </c>
      <c r="P26" s="7">
        <v>75.75</v>
      </c>
      <c r="Q26" s="7">
        <f t="shared" si="1"/>
        <v>86.36</v>
      </c>
      <c r="R26" s="27">
        <f t="shared" si="2"/>
        <v>95.93</v>
      </c>
      <c r="S26" s="140" t="s">
        <v>174</v>
      </c>
    </row>
    <row r="27" spans="1:19" s="36" customFormat="1">
      <c r="A27" s="61" t="s">
        <v>33</v>
      </c>
      <c r="B27" s="8"/>
      <c r="C27" s="9">
        <f>12-10.61</f>
        <v>1.3900000000000006</v>
      </c>
      <c r="D27" s="7">
        <f>75.15-(6*5.05)</f>
        <v>44.850000000000009</v>
      </c>
      <c r="E27" s="139">
        <v>6000</v>
      </c>
      <c r="F27" s="9">
        <v>4.1399999999999997</v>
      </c>
      <c r="G27" s="12">
        <v>6001</v>
      </c>
      <c r="H27" s="13"/>
      <c r="I27" s="14"/>
      <c r="J27" s="12"/>
      <c r="K27" s="13"/>
      <c r="L27" s="14"/>
      <c r="M27" s="13"/>
      <c r="N27" s="7">
        <f>C27+D27+(F27*9)</f>
        <v>83.5</v>
      </c>
      <c r="O27" s="7">
        <v>10.61</v>
      </c>
      <c r="P27" s="7">
        <v>75.75</v>
      </c>
      <c r="Q27" s="7">
        <f t="shared" si="1"/>
        <v>86.36</v>
      </c>
      <c r="R27" s="7">
        <f t="shared" si="2"/>
        <v>169.86</v>
      </c>
      <c r="S27" s="10" t="s">
        <v>200</v>
      </c>
    </row>
    <row r="28" spans="1:19">
      <c r="A28" s="61" t="s">
        <v>178</v>
      </c>
      <c r="B28" s="8"/>
      <c r="C28" s="9">
        <v>1.5</v>
      </c>
      <c r="D28" s="7">
        <v>2</v>
      </c>
      <c r="E28" s="139">
        <v>1000</v>
      </c>
      <c r="F28" s="9"/>
      <c r="G28" s="12"/>
      <c r="H28" s="13"/>
      <c r="I28" s="14"/>
      <c r="J28" s="12"/>
      <c r="K28" s="13"/>
      <c r="L28" s="14"/>
      <c r="M28" s="13"/>
      <c r="N28" s="7">
        <f>C28 +(D28*15)</f>
        <v>31.5</v>
      </c>
      <c r="O28" s="7">
        <v>10.61</v>
      </c>
      <c r="P28" s="7">
        <v>75.75</v>
      </c>
      <c r="Q28" s="7">
        <f t="shared" si="1"/>
        <v>86.36</v>
      </c>
      <c r="R28" s="27">
        <f t="shared" si="2"/>
        <v>117.86</v>
      </c>
      <c r="S28" s="140" t="s">
        <v>179</v>
      </c>
    </row>
    <row r="29" spans="1:19">
      <c r="A29" s="61" t="s">
        <v>34</v>
      </c>
      <c r="B29" s="8"/>
      <c r="C29" s="9">
        <v>0</v>
      </c>
      <c r="D29" s="7">
        <v>0</v>
      </c>
      <c r="E29" s="139">
        <v>1000</v>
      </c>
      <c r="F29" s="9"/>
      <c r="G29" s="12"/>
      <c r="H29" s="13"/>
      <c r="I29" s="14"/>
      <c r="J29" s="12"/>
      <c r="K29" s="13"/>
      <c r="L29" s="14"/>
      <c r="M29" s="13"/>
      <c r="N29" s="7">
        <f>C29 +(D29*15)</f>
        <v>0</v>
      </c>
      <c r="O29" s="7">
        <v>10.61</v>
      </c>
      <c r="P29" s="7">
        <v>75.75</v>
      </c>
      <c r="Q29" s="7">
        <f t="shared" si="1"/>
        <v>86.36</v>
      </c>
      <c r="R29" s="27">
        <f t="shared" si="2"/>
        <v>86.36</v>
      </c>
      <c r="S29" s="10" t="s">
        <v>66</v>
      </c>
    </row>
    <row r="30" spans="1:19" ht="26.25">
      <c r="A30" s="73" t="s">
        <v>77</v>
      </c>
      <c r="B30" s="8"/>
      <c r="C30" s="9">
        <v>0</v>
      </c>
      <c r="D30" s="7">
        <f>90.92-10.61-(10*5.05)</f>
        <v>29.810000000000002</v>
      </c>
      <c r="E30" s="139">
        <v>10000</v>
      </c>
      <c r="F30" s="9">
        <f>6.47+1.5-5.05</f>
        <v>2.92</v>
      </c>
      <c r="G30" s="12">
        <v>10001</v>
      </c>
      <c r="H30" s="13"/>
      <c r="I30" s="14"/>
      <c r="J30" s="12"/>
      <c r="K30" s="13"/>
      <c r="L30" s="14"/>
      <c r="M30" s="13"/>
      <c r="N30" s="7">
        <f>C30+D30+(F30*5)</f>
        <v>44.410000000000004</v>
      </c>
      <c r="O30" s="7">
        <v>10.61</v>
      </c>
      <c r="P30" s="7">
        <v>75.75</v>
      </c>
      <c r="Q30" s="7">
        <f t="shared" si="1"/>
        <v>86.36</v>
      </c>
      <c r="R30" s="27">
        <f t="shared" si="2"/>
        <v>130.77000000000001</v>
      </c>
      <c r="S30" s="140" t="s">
        <v>150</v>
      </c>
    </row>
    <row r="31" spans="1:19">
      <c r="A31" s="73" t="s">
        <v>85</v>
      </c>
      <c r="B31" s="8"/>
      <c r="C31" s="9">
        <v>1.5</v>
      </c>
      <c r="D31" s="7">
        <v>5</v>
      </c>
      <c r="E31" s="139">
        <v>1000</v>
      </c>
      <c r="F31" s="9">
        <v>1.75</v>
      </c>
      <c r="G31" s="12">
        <v>1001</v>
      </c>
      <c r="H31" s="13"/>
      <c r="I31" s="14"/>
      <c r="J31" s="12"/>
      <c r="K31" s="13"/>
      <c r="L31" s="14"/>
      <c r="M31" s="13"/>
      <c r="N31" s="7">
        <f>C31 + D31+(F31*14)</f>
        <v>31</v>
      </c>
      <c r="O31" s="7">
        <v>10.61</v>
      </c>
      <c r="P31" s="7">
        <v>75.75</v>
      </c>
      <c r="Q31" s="7">
        <f t="shared" si="1"/>
        <v>86.36</v>
      </c>
      <c r="R31" s="27">
        <f t="shared" si="2"/>
        <v>117.36</v>
      </c>
      <c r="S31" s="140" t="s">
        <v>136</v>
      </c>
    </row>
    <row r="32" spans="1:19">
      <c r="A32" s="73" t="s">
        <v>86</v>
      </c>
      <c r="B32" s="8"/>
      <c r="C32" s="9">
        <v>1.5</v>
      </c>
      <c r="D32" s="7">
        <v>1.5</v>
      </c>
      <c r="E32" s="139">
        <v>1000</v>
      </c>
      <c r="F32" s="14"/>
      <c r="G32" s="12"/>
      <c r="H32" s="13"/>
      <c r="I32" s="14"/>
      <c r="J32" s="12"/>
      <c r="K32" s="13"/>
      <c r="L32" s="14"/>
      <c r="M32" s="13"/>
      <c r="N32" s="7">
        <f>C32 +(D32*15)</f>
        <v>24</v>
      </c>
      <c r="O32" s="7">
        <v>10.61</v>
      </c>
      <c r="P32" s="7">
        <v>75.75</v>
      </c>
      <c r="Q32" s="7">
        <f t="shared" si="1"/>
        <v>86.36</v>
      </c>
      <c r="R32" s="27">
        <f t="shared" si="2"/>
        <v>110.36</v>
      </c>
      <c r="S32" s="140" t="s">
        <v>158</v>
      </c>
    </row>
    <row r="33" spans="1:19" ht="15.75" thickBot="1">
      <c r="A33" s="74" t="s">
        <v>87</v>
      </c>
      <c r="B33" s="15"/>
      <c r="C33" s="16">
        <v>1.5</v>
      </c>
      <c r="D33" s="17">
        <v>3</v>
      </c>
      <c r="E33" s="139">
        <v>1000</v>
      </c>
      <c r="F33" s="19"/>
      <c r="G33" s="20"/>
      <c r="H33" s="21"/>
      <c r="I33" s="19"/>
      <c r="J33" s="20"/>
      <c r="K33" s="21"/>
      <c r="L33" s="19"/>
      <c r="M33" s="21"/>
      <c r="N33" s="7">
        <f>C33 +(D33*15)</f>
        <v>46.5</v>
      </c>
      <c r="O33" s="7">
        <v>10.61</v>
      </c>
      <c r="P33" s="7">
        <v>75.75</v>
      </c>
      <c r="Q33" s="7">
        <f t="shared" si="1"/>
        <v>86.36</v>
      </c>
      <c r="R33" s="27">
        <f t="shared" si="2"/>
        <v>132.86000000000001</v>
      </c>
      <c r="S33" s="140" t="s">
        <v>131</v>
      </c>
    </row>
    <row r="34" spans="1:19">
      <c r="A34" s="145"/>
      <c r="B34" s="146"/>
      <c r="C34" s="146"/>
      <c r="D34" s="146"/>
      <c r="E34" s="146"/>
      <c r="F34" s="147"/>
      <c r="G34" s="147"/>
      <c r="H34" s="147"/>
      <c r="I34" s="147"/>
      <c r="J34" s="147"/>
      <c r="K34" s="147"/>
      <c r="L34" s="147"/>
      <c r="M34" s="147"/>
      <c r="N34" s="147"/>
      <c r="O34" s="147"/>
      <c r="P34" s="147"/>
      <c r="Q34" s="147"/>
      <c r="R34" s="148"/>
      <c r="S34" s="37"/>
    </row>
    <row r="35" spans="1:19">
      <c r="A35" s="28" t="s">
        <v>35</v>
      </c>
      <c r="B35" s="22"/>
      <c r="C35" s="147"/>
      <c r="D35" s="147"/>
      <c r="E35" s="147"/>
      <c r="F35" s="147"/>
      <c r="G35" s="147"/>
      <c r="H35" s="147"/>
      <c r="I35" s="147"/>
      <c r="J35" s="147"/>
      <c r="K35" s="147"/>
      <c r="L35" s="147"/>
      <c r="M35" s="147"/>
      <c r="N35" s="147"/>
      <c r="O35" s="147"/>
      <c r="P35" s="147"/>
      <c r="Q35" s="147"/>
      <c r="R35" s="148"/>
      <c r="S35" s="37"/>
    </row>
    <row r="36" spans="1:19">
      <c r="A36" s="148"/>
      <c r="B36" s="147" t="s">
        <v>36</v>
      </c>
      <c r="C36" s="147"/>
      <c r="D36" s="147"/>
      <c r="E36" s="147"/>
      <c r="F36" s="147"/>
      <c r="G36" s="147"/>
      <c r="H36" s="147"/>
      <c r="I36" s="147"/>
      <c r="J36" s="147"/>
      <c r="K36" s="147"/>
      <c r="L36" s="147"/>
      <c r="M36" s="147"/>
      <c r="N36" s="147"/>
      <c r="O36" s="147"/>
      <c r="P36" s="147"/>
      <c r="Q36" s="147"/>
      <c r="R36" s="148"/>
      <c r="S36" s="37"/>
    </row>
    <row r="37" spans="1:19">
      <c r="A37" s="148"/>
      <c r="B37" s="22" t="s">
        <v>217</v>
      </c>
      <c r="C37" s="147"/>
      <c r="D37" s="147"/>
      <c r="E37" s="147"/>
      <c r="F37" s="147"/>
      <c r="G37" s="147"/>
      <c r="H37" s="147"/>
      <c r="I37" s="147"/>
      <c r="J37" s="147"/>
      <c r="K37" s="147"/>
      <c r="L37" s="147"/>
      <c r="M37" s="147"/>
      <c r="N37" s="147"/>
      <c r="O37" s="147"/>
      <c r="P37" s="147"/>
      <c r="Q37" s="147"/>
      <c r="R37" s="148"/>
      <c r="S37" s="37"/>
    </row>
    <row r="38" spans="1:19">
      <c r="A38" s="148"/>
      <c r="B38" s="22" t="s">
        <v>37</v>
      </c>
      <c r="C38" s="147"/>
      <c r="D38" s="147"/>
      <c r="E38" s="147"/>
      <c r="F38" s="147"/>
      <c r="G38" s="147"/>
      <c r="H38" s="147"/>
      <c r="I38" s="147"/>
      <c r="J38" s="147"/>
      <c r="K38" s="147"/>
      <c r="L38" s="147"/>
      <c r="M38" s="147"/>
      <c r="N38" s="147"/>
      <c r="O38" s="147"/>
      <c r="P38" s="147"/>
      <c r="Q38" s="147"/>
      <c r="R38" s="148"/>
      <c r="S38" s="10"/>
    </row>
    <row r="39" spans="1:19">
      <c r="A39" s="148"/>
      <c r="B39" s="36" t="s">
        <v>97</v>
      </c>
      <c r="C39" s="36"/>
      <c r="D39" s="36"/>
      <c r="E39" s="36"/>
      <c r="F39" s="36"/>
      <c r="G39" s="36"/>
      <c r="H39" s="36"/>
      <c r="I39" s="36"/>
      <c r="J39" s="36"/>
      <c r="K39" s="36"/>
      <c r="L39" s="36"/>
      <c r="M39" s="36"/>
      <c r="N39" s="36"/>
      <c r="O39" s="147"/>
      <c r="P39" s="147"/>
      <c r="Q39" s="147"/>
      <c r="R39" s="148"/>
      <c r="S39" s="37"/>
    </row>
    <row r="40" spans="1:19">
      <c r="A40" s="148"/>
      <c r="B40" s="147"/>
      <c r="C40" s="147"/>
      <c r="D40" s="147"/>
      <c r="E40" s="147"/>
      <c r="F40" s="147"/>
      <c r="G40" s="147"/>
      <c r="H40" s="147"/>
      <c r="I40" s="147"/>
      <c r="J40" s="147"/>
      <c r="K40" s="147"/>
      <c r="L40" s="147"/>
      <c r="M40" s="147"/>
      <c r="N40" s="147"/>
      <c r="O40" s="147"/>
      <c r="P40" s="147"/>
      <c r="Q40" s="147"/>
      <c r="R40" s="148"/>
      <c r="S40" s="37"/>
    </row>
  </sheetData>
  <sheetProtection formatCells="0" formatColumns="0" formatRows="0"/>
  <pageMargins left="0.7" right="0.7" top="0.75" bottom="0.75" header="0.3" footer="0.3"/>
  <pageSetup paperSize="17" scale="58" fitToHeight="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W43"/>
  <sheetViews>
    <sheetView topLeftCell="A4" zoomScale="80" zoomScaleNormal="80" workbookViewId="0">
      <selection activeCell="E19" sqref="E19"/>
    </sheetView>
  </sheetViews>
  <sheetFormatPr defaultRowHeight="15"/>
  <cols>
    <col min="1" max="1" width="28.85546875" style="35" customWidth="1"/>
    <col min="2" max="2" width="9" style="35" customWidth="1"/>
    <col min="3" max="3" width="10.28515625" style="35" customWidth="1"/>
    <col min="4" max="4" width="8.7109375" style="35" customWidth="1"/>
    <col min="5" max="5" width="7.28515625" style="35" customWidth="1"/>
    <col min="6" max="6" width="6.42578125" style="35" customWidth="1"/>
    <col min="7" max="7" width="7.5703125" style="35" customWidth="1"/>
    <col min="8" max="8" width="9.28515625" style="35" customWidth="1"/>
    <col min="9" max="9" width="6.42578125" style="35" customWidth="1"/>
    <col min="10" max="10" width="9.7109375" style="35" customWidth="1"/>
    <col min="11" max="11" width="8.5703125" style="35" customWidth="1"/>
    <col min="12" max="12" width="6.42578125" style="35" customWidth="1"/>
    <col min="13" max="13" width="8.85546875" style="35" customWidth="1"/>
    <col min="14" max="14" width="14.7109375" style="35" customWidth="1"/>
    <col min="15" max="15" width="10.7109375" style="35" bestFit="1" customWidth="1"/>
    <col min="16" max="16" width="16.42578125" style="35" bestFit="1" customWidth="1"/>
    <col min="17" max="17" width="9.85546875" style="35" bestFit="1" customWidth="1"/>
    <col min="18" max="18" width="11.42578125" style="35" bestFit="1" customWidth="1"/>
    <col min="19" max="19" width="61.5703125" style="77" customWidth="1"/>
    <col min="20" max="22" width="9.140625" style="36"/>
    <col min="23" max="23" width="13.85546875" style="36" customWidth="1"/>
    <col min="24" max="16384" width="9.140625" style="35"/>
  </cols>
  <sheetData>
    <row r="1" spans="1:23">
      <c r="B1" s="36">
        <v>2014</v>
      </c>
      <c r="C1" s="36" t="s">
        <v>38</v>
      </c>
      <c r="D1" s="36"/>
      <c r="E1" s="36"/>
      <c r="F1" s="36"/>
    </row>
    <row r="2" spans="1:23">
      <c r="B2" s="36"/>
      <c r="C2" s="36" t="s">
        <v>39</v>
      </c>
      <c r="D2" s="36"/>
      <c r="E2" s="36"/>
      <c r="F2" s="36"/>
    </row>
    <row r="3" spans="1:23">
      <c r="B3" s="29" t="s">
        <v>1</v>
      </c>
    </row>
    <row r="4" spans="1:23">
      <c r="C4" s="29" t="s">
        <v>2</v>
      </c>
      <c r="D4" s="29"/>
    </row>
    <row r="5" spans="1:23" ht="15.75" thickBot="1">
      <c r="B5" s="35" t="s">
        <v>64</v>
      </c>
      <c r="C5" s="29"/>
      <c r="D5" s="29"/>
    </row>
    <row r="6" spans="1:23" s="36" customFormat="1" ht="15.75" customHeight="1" thickBot="1">
      <c r="A6" s="78" t="s">
        <v>4</v>
      </c>
      <c r="B6" s="79" t="s">
        <v>5</v>
      </c>
      <c r="C6" s="79"/>
      <c r="D6" s="80" t="s">
        <v>40</v>
      </c>
      <c r="E6" s="81"/>
      <c r="F6" s="82"/>
      <c r="G6" s="83" t="s">
        <v>7</v>
      </c>
      <c r="H6" s="84"/>
      <c r="I6" s="82"/>
      <c r="J6" s="83" t="s">
        <v>8</v>
      </c>
      <c r="K6" s="84"/>
      <c r="L6" s="82" t="s">
        <v>9</v>
      </c>
      <c r="M6" s="85"/>
      <c r="N6" s="86" t="s">
        <v>41</v>
      </c>
      <c r="O6" s="30" t="s">
        <v>11</v>
      </c>
      <c r="P6" s="30" t="s">
        <v>12</v>
      </c>
      <c r="Q6" s="30" t="s">
        <v>13</v>
      </c>
      <c r="R6" s="30" t="s">
        <v>13</v>
      </c>
      <c r="S6" s="87"/>
    </row>
    <row r="7" spans="1:23" s="36" customFormat="1" ht="15.75" thickBot="1">
      <c r="A7" s="88" t="s">
        <v>14</v>
      </c>
      <c r="B7" s="89" t="s">
        <v>15</v>
      </c>
      <c r="C7" s="90" t="s">
        <v>16</v>
      </c>
      <c r="D7" s="91" t="s">
        <v>17</v>
      </c>
      <c r="E7" s="88" t="s">
        <v>18</v>
      </c>
      <c r="F7" s="89" t="s">
        <v>17</v>
      </c>
      <c r="G7" s="92" t="s">
        <v>19</v>
      </c>
      <c r="H7" s="90" t="s">
        <v>20</v>
      </c>
      <c r="I7" s="89" t="s">
        <v>17</v>
      </c>
      <c r="J7" s="92" t="s">
        <v>19</v>
      </c>
      <c r="K7" s="90" t="s">
        <v>20</v>
      </c>
      <c r="L7" s="89" t="s">
        <v>17</v>
      </c>
      <c r="M7" s="93" t="s">
        <v>21</v>
      </c>
      <c r="N7" s="88" t="s">
        <v>22</v>
      </c>
      <c r="O7" s="31" t="s">
        <v>23</v>
      </c>
      <c r="P7" s="31" t="s">
        <v>24</v>
      </c>
      <c r="Q7" s="31" t="s">
        <v>11</v>
      </c>
      <c r="R7" s="31" t="s">
        <v>25</v>
      </c>
      <c r="S7" s="32" t="s">
        <v>3</v>
      </c>
      <c r="T7" s="94"/>
      <c r="U7" s="94"/>
      <c r="V7" s="94"/>
      <c r="W7" s="94"/>
    </row>
    <row r="8" spans="1:23" s="36" customFormat="1" ht="42.75">
      <c r="A8" s="53" t="s">
        <v>58</v>
      </c>
      <c r="B8" s="95"/>
      <c r="C8" s="96">
        <v>0</v>
      </c>
      <c r="D8" s="97">
        <v>1.73</v>
      </c>
      <c r="E8" s="98">
        <v>1000</v>
      </c>
      <c r="F8" s="99"/>
      <c r="G8" s="100"/>
      <c r="H8" s="101"/>
      <c r="I8" s="99"/>
      <c r="J8" s="100"/>
      <c r="K8" s="101"/>
      <c r="L8" s="95"/>
      <c r="M8" s="102"/>
      <c r="N8" s="103">
        <f t="shared" ref="N8:N14" si="0">(C8)+(D8*15)</f>
        <v>25.95</v>
      </c>
      <c r="O8" s="103">
        <v>10.61</v>
      </c>
      <c r="P8" s="103">
        <v>75.75</v>
      </c>
      <c r="Q8" s="103">
        <f>O8+P8</f>
        <v>86.36</v>
      </c>
      <c r="R8" s="103">
        <f>N8+Q8</f>
        <v>112.31</v>
      </c>
      <c r="S8" s="104" t="s">
        <v>186</v>
      </c>
      <c r="T8" s="105"/>
      <c r="U8" s="105"/>
      <c r="V8" s="105"/>
      <c r="W8" s="105"/>
    </row>
    <row r="9" spans="1:23" s="36" customFormat="1" ht="28.5">
      <c r="A9" s="61" t="s">
        <v>63</v>
      </c>
      <c r="B9" s="106"/>
      <c r="C9" s="107">
        <v>9.9499999999999993</v>
      </c>
      <c r="D9" s="108">
        <v>2.1</v>
      </c>
      <c r="E9" s="109">
        <v>1000</v>
      </c>
      <c r="F9" s="106"/>
      <c r="G9" s="110"/>
      <c r="H9" s="111"/>
      <c r="I9" s="112"/>
      <c r="J9" s="110"/>
      <c r="K9" s="111"/>
      <c r="L9" s="106"/>
      <c r="M9" s="110"/>
      <c r="N9" s="103">
        <f t="shared" si="0"/>
        <v>41.45</v>
      </c>
      <c r="O9" s="103">
        <v>10.61</v>
      </c>
      <c r="P9" s="103">
        <v>75.75</v>
      </c>
      <c r="Q9" s="103">
        <f t="shared" ref="Q9:Q37" si="1">O9+P9</f>
        <v>86.36</v>
      </c>
      <c r="R9" s="103">
        <f t="shared" ref="R9:R37" si="2">N9+Q9</f>
        <v>127.81</v>
      </c>
      <c r="S9" s="104" t="s">
        <v>215</v>
      </c>
      <c r="T9" s="105"/>
      <c r="U9" s="105"/>
      <c r="V9" s="105"/>
      <c r="W9" s="105"/>
    </row>
    <row r="10" spans="1:23" s="36" customFormat="1">
      <c r="A10" s="113" t="s">
        <v>207</v>
      </c>
      <c r="B10" s="106"/>
      <c r="C10" s="107">
        <v>2</v>
      </c>
      <c r="D10" s="108">
        <v>2.5</v>
      </c>
      <c r="E10" s="109">
        <v>1000</v>
      </c>
      <c r="F10" s="106" t="s">
        <v>27</v>
      </c>
      <c r="G10" s="110" t="s">
        <v>27</v>
      </c>
      <c r="H10" s="111"/>
      <c r="I10" s="112"/>
      <c r="J10" s="110"/>
      <c r="K10" s="111"/>
      <c r="L10" s="106"/>
      <c r="M10" s="110"/>
      <c r="N10" s="103">
        <f>(C10)+(D10*15)</f>
        <v>39.5</v>
      </c>
      <c r="O10" s="103">
        <v>10.61</v>
      </c>
      <c r="P10" s="103">
        <v>75.75</v>
      </c>
      <c r="Q10" s="103">
        <f t="shared" si="1"/>
        <v>86.36</v>
      </c>
      <c r="R10" s="103">
        <f t="shared" si="2"/>
        <v>125.86</v>
      </c>
      <c r="S10" s="104" t="s">
        <v>208</v>
      </c>
      <c r="T10" s="105"/>
      <c r="U10" s="105"/>
      <c r="V10" s="105"/>
      <c r="W10" s="105"/>
    </row>
    <row r="11" spans="1:23" s="36" customFormat="1">
      <c r="A11" s="61" t="s">
        <v>42</v>
      </c>
      <c r="B11" s="106"/>
      <c r="C11" s="107">
        <v>0</v>
      </c>
      <c r="D11" s="108">
        <v>0</v>
      </c>
      <c r="E11" s="109">
        <v>1000</v>
      </c>
      <c r="F11" s="106"/>
      <c r="G11" s="110"/>
      <c r="H11" s="111"/>
      <c r="I11" s="112"/>
      <c r="J11" s="110"/>
      <c r="K11" s="111"/>
      <c r="L11" s="106"/>
      <c r="M11" s="110"/>
      <c r="N11" s="103">
        <f t="shared" si="0"/>
        <v>0</v>
      </c>
      <c r="O11" s="103">
        <v>10.61</v>
      </c>
      <c r="P11" s="103">
        <v>75.75</v>
      </c>
      <c r="Q11" s="103">
        <f t="shared" si="1"/>
        <v>86.36</v>
      </c>
      <c r="R11" s="103">
        <f t="shared" si="2"/>
        <v>86.36</v>
      </c>
      <c r="S11" s="104" t="s">
        <v>59</v>
      </c>
      <c r="T11" s="105"/>
      <c r="U11" s="105"/>
      <c r="V11" s="105"/>
      <c r="W11" s="105"/>
    </row>
    <row r="12" spans="1:23" s="36" customFormat="1" ht="28.5">
      <c r="A12" s="61" t="s">
        <v>141</v>
      </c>
      <c r="B12" s="106"/>
      <c r="C12" s="107">
        <v>0</v>
      </c>
      <c r="D12" s="108">
        <v>5</v>
      </c>
      <c r="E12" s="109">
        <v>1000</v>
      </c>
      <c r="F12" s="106"/>
      <c r="G12" s="110"/>
      <c r="H12" s="111"/>
      <c r="I12" s="112"/>
      <c r="J12" s="110"/>
      <c r="K12" s="111"/>
      <c r="L12" s="106"/>
      <c r="M12" s="110"/>
      <c r="N12" s="103">
        <f t="shared" si="0"/>
        <v>75</v>
      </c>
      <c r="O12" s="103">
        <v>10.61</v>
      </c>
      <c r="P12" s="103">
        <v>75.75</v>
      </c>
      <c r="Q12" s="103">
        <f t="shared" si="1"/>
        <v>86.36</v>
      </c>
      <c r="R12" s="103">
        <f t="shared" si="2"/>
        <v>161.36000000000001</v>
      </c>
      <c r="S12" s="104" t="s">
        <v>142</v>
      </c>
      <c r="T12" s="105"/>
      <c r="U12" s="105"/>
      <c r="V12" s="105"/>
      <c r="W12" s="105"/>
    </row>
    <row r="13" spans="1:23" s="36" customFormat="1" ht="28.5">
      <c r="A13" s="61" t="s">
        <v>195</v>
      </c>
      <c r="B13" s="106"/>
      <c r="C13" s="107">
        <v>0</v>
      </c>
      <c r="D13" s="108">
        <f>7.92-5.05</f>
        <v>2.87</v>
      </c>
      <c r="E13" s="109">
        <v>1000</v>
      </c>
      <c r="F13" s="106"/>
      <c r="G13" s="110"/>
      <c r="H13" s="111"/>
      <c r="I13" s="112"/>
      <c r="J13" s="110"/>
      <c r="K13" s="111"/>
      <c r="L13" s="106"/>
      <c r="M13" s="110"/>
      <c r="N13" s="103">
        <f t="shared" si="0"/>
        <v>43.050000000000004</v>
      </c>
      <c r="O13" s="103">
        <v>10.61</v>
      </c>
      <c r="P13" s="103">
        <v>75.75</v>
      </c>
      <c r="Q13" s="103">
        <f t="shared" si="1"/>
        <v>86.36</v>
      </c>
      <c r="R13" s="103">
        <f t="shared" si="2"/>
        <v>129.41</v>
      </c>
      <c r="S13" s="104" t="s">
        <v>196</v>
      </c>
      <c r="T13" s="105"/>
      <c r="U13" s="105"/>
      <c r="V13" s="105"/>
      <c r="W13" s="105"/>
    </row>
    <row r="14" spans="1:23" s="36" customFormat="1" ht="28.5">
      <c r="A14" s="61" t="s">
        <v>62</v>
      </c>
      <c r="B14" s="106"/>
      <c r="C14" s="107">
        <v>2</v>
      </c>
      <c r="D14" s="108">
        <v>4.3499999999999996</v>
      </c>
      <c r="E14" s="109">
        <v>1000</v>
      </c>
      <c r="F14" s="106" t="s">
        <v>27</v>
      </c>
      <c r="G14" s="110" t="s">
        <v>27</v>
      </c>
      <c r="H14" s="111"/>
      <c r="I14" s="112"/>
      <c r="J14" s="110"/>
      <c r="K14" s="111"/>
      <c r="L14" s="106"/>
      <c r="M14" s="110"/>
      <c r="N14" s="103">
        <f t="shared" si="0"/>
        <v>67.25</v>
      </c>
      <c r="O14" s="103">
        <v>10.61</v>
      </c>
      <c r="P14" s="103">
        <v>75.75</v>
      </c>
      <c r="Q14" s="103">
        <f t="shared" si="1"/>
        <v>86.36</v>
      </c>
      <c r="R14" s="103">
        <f t="shared" si="2"/>
        <v>153.61000000000001</v>
      </c>
      <c r="S14" s="104" t="s">
        <v>164</v>
      </c>
      <c r="T14" s="105"/>
      <c r="U14" s="105"/>
      <c r="V14" s="105"/>
      <c r="W14" s="105"/>
    </row>
    <row r="15" spans="1:23" s="36" customFormat="1" ht="28.5">
      <c r="A15" s="113" t="s">
        <v>182</v>
      </c>
      <c r="B15" s="106"/>
      <c r="C15" s="107">
        <v>5.43</v>
      </c>
      <c r="D15" s="108">
        <v>3.28</v>
      </c>
      <c r="E15" s="109">
        <v>1000</v>
      </c>
      <c r="F15" s="106"/>
      <c r="G15" s="110"/>
      <c r="H15" s="111"/>
      <c r="I15" s="112"/>
      <c r="J15" s="110"/>
      <c r="K15" s="111"/>
      <c r="L15" s="106"/>
      <c r="M15" s="110"/>
      <c r="N15" s="114">
        <f>C15+(D15*15)</f>
        <v>54.629999999999995</v>
      </c>
      <c r="O15" s="103">
        <v>10.61</v>
      </c>
      <c r="P15" s="103">
        <v>75.75</v>
      </c>
      <c r="Q15" s="103">
        <f t="shared" si="1"/>
        <v>86.36</v>
      </c>
      <c r="R15" s="103">
        <f t="shared" si="2"/>
        <v>140.99</v>
      </c>
      <c r="S15" s="104" t="s">
        <v>181</v>
      </c>
      <c r="T15" s="105"/>
      <c r="U15" s="105"/>
      <c r="V15" s="105"/>
      <c r="W15" s="105"/>
    </row>
    <row r="16" spans="1:23" s="36" customFormat="1" ht="28.5">
      <c r="A16" s="61" t="s">
        <v>123</v>
      </c>
      <c r="B16" s="106"/>
      <c r="C16" s="107">
        <f>24.07-9.07</f>
        <v>15</v>
      </c>
      <c r="D16" s="108">
        <v>7.66</v>
      </c>
      <c r="E16" s="109">
        <v>1000</v>
      </c>
      <c r="F16" s="106" t="s">
        <v>27</v>
      </c>
      <c r="G16" s="115" t="s">
        <v>27</v>
      </c>
      <c r="H16" s="116" t="s">
        <v>27</v>
      </c>
      <c r="I16" s="112" t="s">
        <v>27</v>
      </c>
      <c r="J16" s="115" t="s">
        <v>27</v>
      </c>
      <c r="K16" s="116" t="s">
        <v>27</v>
      </c>
      <c r="L16" s="106" t="s">
        <v>27</v>
      </c>
      <c r="M16" s="115" t="s">
        <v>27</v>
      </c>
      <c r="N16" s="103">
        <f>(C16)+(D16*15)</f>
        <v>129.9</v>
      </c>
      <c r="O16" s="103">
        <v>10.61</v>
      </c>
      <c r="P16" s="103">
        <v>75.75</v>
      </c>
      <c r="Q16" s="103">
        <f t="shared" si="1"/>
        <v>86.36</v>
      </c>
      <c r="R16" s="103">
        <f t="shared" si="2"/>
        <v>216.26</v>
      </c>
      <c r="S16" s="104" t="s">
        <v>124</v>
      </c>
      <c r="T16" s="105"/>
      <c r="U16" s="105"/>
      <c r="V16" s="105"/>
      <c r="W16" s="105"/>
    </row>
    <row r="17" spans="1:23" s="36" customFormat="1" ht="57">
      <c r="A17" s="117" t="s">
        <v>73</v>
      </c>
      <c r="B17" s="106"/>
      <c r="C17" s="108">
        <f>(19.5-10.61)+63</f>
        <v>71.89</v>
      </c>
      <c r="D17" s="103">
        <f>5.8-5.05</f>
        <v>0.75</v>
      </c>
      <c r="E17" s="109">
        <v>1000</v>
      </c>
      <c r="F17" s="106"/>
      <c r="G17" s="110"/>
      <c r="H17" s="111"/>
      <c r="I17" s="112"/>
      <c r="J17" s="110"/>
      <c r="K17" s="111"/>
      <c r="L17" s="106"/>
      <c r="M17" s="110"/>
      <c r="N17" s="103">
        <f>(C17)+(D17*15)</f>
        <v>83.14</v>
      </c>
      <c r="O17" s="103">
        <v>10.61</v>
      </c>
      <c r="P17" s="103">
        <v>75.75</v>
      </c>
      <c r="Q17" s="103">
        <f t="shared" si="1"/>
        <v>86.36</v>
      </c>
      <c r="R17" s="103">
        <f t="shared" si="2"/>
        <v>169.5</v>
      </c>
      <c r="S17" s="104" t="s">
        <v>43</v>
      </c>
      <c r="T17" s="105"/>
      <c r="U17" s="105"/>
      <c r="V17" s="105"/>
      <c r="W17" s="105"/>
    </row>
    <row r="18" spans="1:23" s="36" customFormat="1" ht="57">
      <c r="A18" s="117" t="s">
        <v>72</v>
      </c>
      <c r="B18" s="106"/>
      <c r="C18" s="108">
        <f>(19.5-10.61)+27</f>
        <v>35.89</v>
      </c>
      <c r="D18" s="103">
        <f>5.8-5.05</f>
        <v>0.75</v>
      </c>
      <c r="E18" s="109">
        <v>1000</v>
      </c>
      <c r="F18" s="106"/>
      <c r="G18" s="110"/>
      <c r="H18" s="111"/>
      <c r="I18" s="112"/>
      <c r="J18" s="110"/>
      <c r="K18" s="111"/>
      <c r="L18" s="106"/>
      <c r="M18" s="110"/>
      <c r="N18" s="103">
        <f>(C18)+(D18*15)</f>
        <v>47.14</v>
      </c>
      <c r="O18" s="103">
        <v>10.61</v>
      </c>
      <c r="P18" s="103">
        <v>75.75</v>
      </c>
      <c r="Q18" s="103">
        <f t="shared" si="1"/>
        <v>86.36</v>
      </c>
      <c r="R18" s="103">
        <f t="shared" si="2"/>
        <v>133.5</v>
      </c>
      <c r="S18" s="104" t="s">
        <v>44</v>
      </c>
      <c r="T18" s="105"/>
      <c r="U18" s="105"/>
      <c r="V18" s="105"/>
      <c r="W18" s="105"/>
    </row>
    <row r="19" spans="1:23" s="36" customFormat="1">
      <c r="A19" s="118" t="s">
        <v>55</v>
      </c>
      <c r="B19" s="119"/>
      <c r="C19" s="120">
        <v>0</v>
      </c>
      <c r="D19" s="121">
        <v>12.5</v>
      </c>
      <c r="E19" s="122">
        <v>5000</v>
      </c>
      <c r="F19" s="119">
        <v>2.5</v>
      </c>
      <c r="G19" s="123">
        <v>5001</v>
      </c>
      <c r="H19" s="124"/>
      <c r="I19" s="125"/>
      <c r="J19" s="123"/>
      <c r="K19" s="124"/>
      <c r="L19" s="119"/>
      <c r="M19" s="123"/>
      <c r="N19" s="114">
        <f>C19+D19+(F19*10)</f>
        <v>37.5</v>
      </c>
      <c r="O19" s="103">
        <v>10.61</v>
      </c>
      <c r="P19" s="103">
        <v>75.75</v>
      </c>
      <c r="Q19" s="103">
        <f t="shared" si="1"/>
        <v>86.36</v>
      </c>
      <c r="R19" s="103">
        <f t="shared" si="2"/>
        <v>123.86</v>
      </c>
      <c r="S19" s="104" t="s">
        <v>205</v>
      </c>
      <c r="T19" s="105"/>
      <c r="U19" s="105"/>
      <c r="V19" s="105"/>
      <c r="W19" s="105"/>
    </row>
    <row r="20" spans="1:23" s="36" customFormat="1">
      <c r="A20" s="66" t="s">
        <v>165</v>
      </c>
      <c r="B20" s="106"/>
      <c r="C20" s="108">
        <v>75</v>
      </c>
      <c r="D20" s="103">
        <v>1.25</v>
      </c>
      <c r="E20" s="109">
        <v>1000</v>
      </c>
      <c r="F20" s="106"/>
      <c r="G20" s="110"/>
      <c r="H20" s="126"/>
      <c r="I20" s="112"/>
      <c r="J20" s="110"/>
      <c r="K20" s="126"/>
      <c r="L20" s="106"/>
      <c r="M20" s="126"/>
      <c r="N20" s="103">
        <f>(C20)+(D20*15)</f>
        <v>93.75</v>
      </c>
      <c r="O20" s="103">
        <v>10.61</v>
      </c>
      <c r="P20" s="103">
        <v>75.75</v>
      </c>
      <c r="Q20" s="103">
        <f t="shared" si="1"/>
        <v>86.36</v>
      </c>
      <c r="R20" s="103">
        <f t="shared" si="2"/>
        <v>180.11</v>
      </c>
      <c r="S20" s="104" t="s">
        <v>169</v>
      </c>
      <c r="T20" s="105"/>
      <c r="U20" s="105"/>
      <c r="V20" s="105"/>
      <c r="W20" s="105"/>
    </row>
    <row r="21" spans="1:23" s="36" customFormat="1">
      <c r="A21" s="66" t="s">
        <v>166</v>
      </c>
      <c r="B21" s="106"/>
      <c r="C21" s="108">
        <v>50</v>
      </c>
      <c r="D21" s="103">
        <v>1.25</v>
      </c>
      <c r="E21" s="109">
        <v>1000</v>
      </c>
      <c r="F21" s="106"/>
      <c r="G21" s="110"/>
      <c r="H21" s="126"/>
      <c r="I21" s="112"/>
      <c r="J21" s="110"/>
      <c r="K21" s="126"/>
      <c r="L21" s="106"/>
      <c r="M21" s="126"/>
      <c r="N21" s="103">
        <f>(C21)+(D21*15)</f>
        <v>68.75</v>
      </c>
      <c r="O21" s="103">
        <v>10.61</v>
      </c>
      <c r="P21" s="103">
        <v>75.75</v>
      </c>
      <c r="Q21" s="103">
        <f t="shared" si="1"/>
        <v>86.36</v>
      </c>
      <c r="R21" s="103">
        <f t="shared" si="2"/>
        <v>155.11000000000001</v>
      </c>
      <c r="S21" s="104" t="s">
        <v>170</v>
      </c>
      <c r="T21" s="105"/>
      <c r="U21" s="105"/>
      <c r="V21" s="105"/>
      <c r="W21" s="105"/>
    </row>
    <row r="22" spans="1:23" s="36" customFormat="1">
      <c r="A22" s="66" t="s">
        <v>167</v>
      </c>
      <c r="B22" s="106"/>
      <c r="C22" s="108">
        <v>110</v>
      </c>
      <c r="D22" s="103">
        <v>1.25</v>
      </c>
      <c r="E22" s="109">
        <v>1000</v>
      </c>
      <c r="F22" s="106"/>
      <c r="G22" s="110"/>
      <c r="H22" s="126"/>
      <c r="I22" s="112"/>
      <c r="J22" s="110"/>
      <c r="K22" s="126"/>
      <c r="L22" s="106"/>
      <c r="M22" s="126"/>
      <c r="N22" s="103">
        <f>(C22)+(D22*15)</f>
        <v>128.75</v>
      </c>
      <c r="O22" s="103">
        <v>10.61</v>
      </c>
      <c r="P22" s="103">
        <v>75.75</v>
      </c>
      <c r="Q22" s="103">
        <f t="shared" si="1"/>
        <v>86.36</v>
      </c>
      <c r="R22" s="103">
        <f t="shared" si="2"/>
        <v>215.11</v>
      </c>
      <c r="S22" s="104" t="s">
        <v>171</v>
      </c>
      <c r="T22" s="105"/>
      <c r="U22" s="105"/>
      <c r="V22" s="105"/>
      <c r="W22" s="105"/>
    </row>
    <row r="23" spans="1:23" s="36" customFormat="1">
      <c r="A23" s="66" t="s">
        <v>168</v>
      </c>
      <c r="B23" s="106"/>
      <c r="C23" s="108">
        <v>0</v>
      </c>
      <c r="D23" s="103">
        <v>1.25</v>
      </c>
      <c r="E23" s="109">
        <v>1000</v>
      </c>
      <c r="F23" s="106"/>
      <c r="G23" s="110"/>
      <c r="H23" s="126"/>
      <c r="I23" s="112"/>
      <c r="J23" s="110"/>
      <c r="K23" s="126"/>
      <c r="L23" s="106"/>
      <c r="M23" s="126"/>
      <c r="N23" s="103">
        <f>(C23)+(D23*15)</f>
        <v>18.75</v>
      </c>
      <c r="O23" s="103">
        <v>10.61</v>
      </c>
      <c r="P23" s="103">
        <v>75.75</v>
      </c>
      <c r="Q23" s="103">
        <f>O23+P23</f>
        <v>86.36</v>
      </c>
      <c r="R23" s="103">
        <f>N23+Q23</f>
        <v>105.11</v>
      </c>
      <c r="S23" s="104" t="s">
        <v>172</v>
      </c>
      <c r="T23" s="105"/>
      <c r="U23" s="105"/>
      <c r="V23" s="105"/>
      <c r="W23" s="105"/>
    </row>
    <row r="24" spans="1:23" s="36" customFormat="1" ht="57">
      <c r="A24" s="113" t="s">
        <v>214</v>
      </c>
      <c r="B24" s="106"/>
      <c r="C24" s="107">
        <v>2</v>
      </c>
      <c r="D24" s="108">
        <v>4</v>
      </c>
      <c r="E24" s="109">
        <v>1000</v>
      </c>
      <c r="F24" s="106"/>
      <c r="G24" s="127"/>
      <c r="H24" s="128"/>
      <c r="I24" s="129"/>
      <c r="J24" s="127"/>
      <c r="K24" s="128"/>
      <c r="L24" s="129"/>
      <c r="M24" s="128"/>
      <c r="N24" s="103">
        <f t="shared" ref="N24:N25" si="3">(C24)+(D24*15)</f>
        <v>62</v>
      </c>
      <c r="O24" s="103">
        <v>10.61</v>
      </c>
      <c r="P24" s="103">
        <v>75.75</v>
      </c>
      <c r="Q24" s="103">
        <f t="shared" si="1"/>
        <v>86.36</v>
      </c>
      <c r="R24" s="103">
        <f t="shared" si="2"/>
        <v>148.36000000000001</v>
      </c>
      <c r="S24" s="104" t="s">
        <v>216</v>
      </c>
      <c r="T24" s="105"/>
      <c r="U24" s="105"/>
      <c r="V24" s="105"/>
      <c r="W24" s="105"/>
    </row>
    <row r="25" spans="1:23" s="36" customFormat="1" ht="57">
      <c r="A25" s="113" t="s">
        <v>71</v>
      </c>
      <c r="B25" s="106"/>
      <c r="C25" s="108">
        <f>19.5-10.61</f>
        <v>8.89</v>
      </c>
      <c r="D25" s="103">
        <f>5.8-5.05</f>
        <v>0.75</v>
      </c>
      <c r="E25" s="109">
        <v>1000</v>
      </c>
      <c r="F25" s="106"/>
      <c r="G25" s="127"/>
      <c r="H25" s="128"/>
      <c r="I25" s="129"/>
      <c r="J25" s="127"/>
      <c r="K25" s="128"/>
      <c r="L25" s="129"/>
      <c r="M25" s="128"/>
      <c r="N25" s="103">
        <f t="shared" si="3"/>
        <v>20.14</v>
      </c>
      <c r="O25" s="103">
        <v>10.61</v>
      </c>
      <c r="P25" s="103">
        <v>75.75</v>
      </c>
      <c r="Q25" s="103">
        <f t="shared" si="1"/>
        <v>86.36</v>
      </c>
      <c r="R25" s="103">
        <f t="shared" si="2"/>
        <v>106.5</v>
      </c>
      <c r="S25" s="104" t="s">
        <v>125</v>
      </c>
      <c r="T25" s="105"/>
      <c r="U25" s="105"/>
      <c r="V25" s="105"/>
      <c r="W25" s="105"/>
    </row>
    <row r="26" spans="1:23" s="36" customFormat="1">
      <c r="A26" s="113" t="s">
        <v>56</v>
      </c>
      <c r="B26" s="106"/>
      <c r="C26" s="120">
        <v>0</v>
      </c>
      <c r="D26" s="121">
        <v>12.5</v>
      </c>
      <c r="E26" s="122">
        <v>5000</v>
      </c>
      <c r="F26" s="119">
        <v>2.5</v>
      </c>
      <c r="G26" s="123">
        <v>5001</v>
      </c>
      <c r="H26" s="128"/>
      <c r="I26" s="129"/>
      <c r="J26" s="127"/>
      <c r="K26" s="128"/>
      <c r="L26" s="129"/>
      <c r="M26" s="128"/>
      <c r="N26" s="114">
        <f>C26+D26+(F26*10)</f>
        <v>37.5</v>
      </c>
      <c r="O26" s="103">
        <v>10.61</v>
      </c>
      <c r="P26" s="103">
        <v>75.75</v>
      </c>
      <c r="Q26" s="103">
        <f t="shared" si="1"/>
        <v>86.36</v>
      </c>
      <c r="R26" s="103">
        <f t="shared" si="2"/>
        <v>123.86</v>
      </c>
      <c r="S26" s="104" t="s">
        <v>205</v>
      </c>
      <c r="T26" s="105"/>
      <c r="U26" s="105"/>
      <c r="V26" s="105"/>
      <c r="W26" s="105"/>
    </row>
    <row r="27" spans="1:23" s="36" customFormat="1" ht="42.75">
      <c r="A27" s="61" t="s">
        <v>82</v>
      </c>
      <c r="B27" s="106"/>
      <c r="C27" s="108">
        <f>10.75-10.61</f>
        <v>0.14000000000000057</v>
      </c>
      <c r="D27" s="103">
        <f>15.45-5.05</f>
        <v>10.399999999999999</v>
      </c>
      <c r="E27" s="109">
        <v>1000</v>
      </c>
      <c r="F27" s="106"/>
      <c r="G27" s="127"/>
      <c r="H27" s="128"/>
      <c r="I27" s="129"/>
      <c r="J27" s="127"/>
      <c r="K27" s="128"/>
      <c r="L27" s="129"/>
      <c r="M27" s="128"/>
      <c r="N27" s="114">
        <f>C27+(D27*15)</f>
        <v>156.13999999999999</v>
      </c>
      <c r="O27" s="103">
        <v>10.61</v>
      </c>
      <c r="P27" s="103">
        <v>75.75</v>
      </c>
      <c r="Q27" s="103">
        <f t="shared" si="1"/>
        <v>86.36</v>
      </c>
      <c r="R27" s="103">
        <f t="shared" si="2"/>
        <v>242.5</v>
      </c>
      <c r="S27" s="104" t="s">
        <v>202</v>
      </c>
      <c r="T27" s="105"/>
      <c r="U27" s="105"/>
      <c r="V27" s="105"/>
      <c r="W27" s="105"/>
    </row>
    <row r="28" spans="1:23" s="36" customFormat="1">
      <c r="A28" s="113" t="s">
        <v>93</v>
      </c>
      <c r="B28" s="106"/>
      <c r="C28" s="108">
        <v>5.15</v>
      </c>
      <c r="D28" s="103">
        <v>1.5</v>
      </c>
      <c r="E28" s="109">
        <v>1000</v>
      </c>
      <c r="F28" s="106"/>
      <c r="G28" s="127"/>
      <c r="H28" s="128"/>
      <c r="I28" s="129"/>
      <c r="J28" s="127"/>
      <c r="K28" s="128"/>
      <c r="L28" s="129"/>
      <c r="M28" s="128"/>
      <c r="N28" s="103">
        <f>(C28)+(D28*15)</f>
        <v>27.65</v>
      </c>
      <c r="O28" s="103">
        <v>10.61</v>
      </c>
      <c r="P28" s="103">
        <v>75.75</v>
      </c>
      <c r="Q28" s="103">
        <f t="shared" si="1"/>
        <v>86.36</v>
      </c>
      <c r="R28" s="103">
        <f t="shared" si="2"/>
        <v>114.00999999999999</v>
      </c>
      <c r="S28" s="104" t="s">
        <v>211</v>
      </c>
      <c r="T28" s="105"/>
      <c r="U28" s="105"/>
      <c r="V28" s="105"/>
      <c r="W28" s="105"/>
    </row>
    <row r="29" spans="1:23" s="36" customFormat="1" ht="28.5">
      <c r="A29" s="61" t="s">
        <v>159</v>
      </c>
      <c r="B29" s="106"/>
      <c r="C29" s="108">
        <v>0</v>
      </c>
      <c r="D29" s="103">
        <v>41.32</v>
      </c>
      <c r="E29" s="109">
        <v>10000</v>
      </c>
      <c r="F29" s="106">
        <f>6.39-5.05</f>
        <v>1.3399999999999999</v>
      </c>
      <c r="G29" s="127">
        <v>10001</v>
      </c>
      <c r="H29" s="128"/>
      <c r="I29" s="106"/>
      <c r="J29" s="127"/>
      <c r="K29" s="128"/>
      <c r="L29" s="129"/>
      <c r="M29" s="127"/>
      <c r="N29" s="103">
        <f>D29+(F29*5)+2.79</f>
        <v>50.809999999999995</v>
      </c>
      <c r="O29" s="103">
        <v>10.61</v>
      </c>
      <c r="P29" s="103">
        <v>75.75</v>
      </c>
      <c r="Q29" s="103">
        <f t="shared" si="1"/>
        <v>86.36</v>
      </c>
      <c r="R29" s="103">
        <f t="shared" si="2"/>
        <v>137.16999999999999</v>
      </c>
      <c r="S29" s="104" t="s">
        <v>160</v>
      </c>
      <c r="T29" s="105"/>
      <c r="U29" s="105"/>
      <c r="V29" s="105"/>
      <c r="W29" s="105"/>
    </row>
    <row r="30" spans="1:23" s="36" customFormat="1" ht="100.5">
      <c r="A30" s="61" t="s">
        <v>32</v>
      </c>
      <c r="B30" s="106">
        <v>0</v>
      </c>
      <c r="C30" s="108"/>
      <c r="D30" s="103">
        <v>3.72</v>
      </c>
      <c r="E30" s="109">
        <v>1000</v>
      </c>
      <c r="F30" s="106"/>
      <c r="G30" s="127"/>
      <c r="H30" s="128"/>
      <c r="I30" s="129"/>
      <c r="J30" s="127"/>
      <c r="K30" s="128"/>
      <c r="L30" s="129"/>
      <c r="M30" s="128"/>
      <c r="N30" s="103">
        <f>(B30*3)+(D30*15)</f>
        <v>55.800000000000004</v>
      </c>
      <c r="O30" s="103">
        <v>10.61</v>
      </c>
      <c r="P30" s="103">
        <v>75.75</v>
      </c>
      <c r="Q30" s="103">
        <f t="shared" si="1"/>
        <v>86.36</v>
      </c>
      <c r="R30" s="103">
        <f t="shared" si="2"/>
        <v>142.16</v>
      </c>
      <c r="S30" s="130" t="s">
        <v>116</v>
      </c>
      <c r="T30" s="105"/>
      <c r="U30" s="105"/>
      <c r="V30" s="105"/>
      <c r="W30" s="105"/>
    </row>
    <row r="31" spans="1:23" s="36" customFormat="1" ht="28.5">
      <c r="A31" s="113" t="s">
        <v>60</v>
      </c>
      <c r="B31" s="106"/>
      <c r="C31" s="108">
        <v>9</v>
      </c>
      <c r="D31" s="103">
        <f>4*(5.49-4.32)</f>
        <v>4.68</v>
      </c>
      <c r="E31" s="109">
        <v>4000</v>
      </c>
      <c r="F31" s="106">
        <f>5.49-4.32</f>
        <v>1.17</v>
      </c>
      <c r="G31" s="127">
        <v>4001</v>
      </c>
      <c r="H31" s="128"/>
      <c r="I31" s="129"/>
      <c r="J31" s="127"/>
      <c r="K31" s="128"/>
      <c r="L31" s="129"/>
      <c r="M31" s="128"/>
      <c r="N31" s="114">
        <f>C31+D31+(F31*11)</f>
        <v>26.549999999999997</v>
      </c>
      <c r="O31" s="103">
        <v>10.61</v>
      </c>
      <c r="P31" s="103">
        <v>75.75</v>
      </c>
      <c r="Q31" s="103">
        <f t="shared" si="1"/>
        <v>86.36</v>
      </c>
      <c r="R31" s="103">
        <f t="shared" si="2"/>
        <v>112.91</v>
      </c>
      <c r="S31" s="104" t="s">
        <v>106</v>
      </c>
      <c r="T31" s="105"/>
      <c r="U31" s="105"/>
      <c r="V31" s="105"/>
      <c r="W31" s="105"/>
    </row>
    <row r="32" spans="1:23" s="36" customFormat="1">
      <c r="A32" s="113" t="s">
        <v>61</v>
      </c>
      <c r="B32" s="106"/>
      <c r="C32" s="108">
        <v>10</v>
      </c>
      <c r="D32" s="103">
        <f>4*(5.49-5.05)+(4*2.5)</f>
        <v>11.760000000000002</v>
      </c>
      <c r="E32" s="109">
        <v>4000</v>
      </c>
      <c r="F32" s="106">
        <f>(5.49-5.05)+2.5</f>
        <v>2.9400000000000004</v>
      </c>
      <c r="G32" s="127">
        <v>4001</v>
      </c>
      <c r="H32" s="128"/>
      <c r="I32" s="129"/>
      <c r="J32" s="127"/>
      <c r="K32" s="128"/>
      <c r="L32" s="129"/>
      <c r="M32" s="128"/>
      <c r="N32" s="114">
        <f>C32+D32+(F32*11)</f>
        <v>54.100000000000009</v>
      </c>
      <c r="O32" s="103">
        <v>10.61</v>
      </c>
      <c r="P32" s="103">
        <v>75.75</v>
      </c>
      <c r="Q32" s="103">
        <f t="shared" si="1"/>
        <v>86.36</v>
      </c>
      <c r="R32" s="103">
        <f t="shared" si="2"/>
        <v>140.46</v>
      </c>
      <c r="S32" s="104" t="s">
        <v>205</v>
      </c>
      <c r="T32" s="105"/>
      <c r="U32" s="105"/>
      <c r="V32" s="105"/>
      <c r="W32" s="105"/>
    </row>
    <row r="33" spans="1:23" s="36" customFormat="1" ht="29.25">
      <c r="A33" s="61" t="s">
        <v>81</v>
      </c>
      <c r="B33" s="106">
        <v>4.5</v>
      </c>
      <c r="C33" s="108">
        <v>0</v>
      </c>
      <c r="D33" s="103">
        <v>0</v>
      </c>
      <c r="E33" s="109">
        <v>0</v>
      </c>
      <c r="F33" s="106">
        <v>3.75</v>
      </c>
      <c r="G33" s="127">
        <v>1000</v>
      </c>
      <c r="H33" s="128"/>
      <c r="I33" s="129"/>
      <c r="J33" s="127"/>
      <c r="K33" s="128"/>
      <c r="L33" s="129"/>
      <c r="M33" s="128"/>
      <c r="N33" s="114">
        <f>B33+D33+(F33*15)</f>
        <v>60.75</v>
      </c>
      <c r="O33" s="103">
        <v>10.61</v>
      </c>
      <c r="P33" s="103">
        <v>75.75</v>
      </c>
      <c r="Q33" s="103">
        <f t="shared" si="1"/>
        <v>86.36</v>
      </c>
      <c r="R33" s="103">
        <f t="shared" si="2"/>
        <v>147.11000000000001</v>
      </c>
      <c r="S33" s="130" t="s">
        <v>180</v>
      </c>
      <c r="T33" s="105"/>
      <c r="U33" s="105"/>
      <c r="V33" s="105"/>
      <c r="W33" s="105"/>
    </row>
    <row r="34" spans="1:23" s="36" customFormat="1" ht="28.5">
      <c r="A34" s="61" t="s">
        <v>120</v>
      </c>
      <c r="B34" s="106"/>
      <c r="C34" s="108">
        <v>0.41</v>
      </c>
      <c r="D34" s="103">
        <v>2</v>
      </c>
      <c r="E34" s="109">
        <v>1000</v>
      </c>
      <c r="F34" s="106" t="s">
        <v>27</v>
      </c>
      <c r="G34" s="127" t="s">
        <v>27</v>
      </c>
      <c r="H34" s="128"/>
      <c r="I34" s="129"/>
      <c r="J34" s="127"/>
      <c r="K34" s="128"/>
      <c r="L34" s="129"/>
      <c r="M34" s="128"/>
      <c r="N34" s="103">
        <f>C34+(D34*15)</f>
        <v>30.41</v>
      </c>
      <c r="O34" s="103">
        <v>10.61</v>
      </c>
      <c r="P34" s="103">
        <v>75.75</v>
      </c>
      <c r="Q34" s="103">
        <f t="shared" si="1"/>
        <v>86.36</v>
      </c>
      <c r="R34" s="103">
        <f t="shared" si="2"/>
        <v>116.77</v>
      </c>
      <c r="S34" s="104" t="s">
        <v>122</v>
      </c>
      <c r="T34" s="105"/>
      <c r="U34" s="105"/>
      <c r="V34" s="105"/>
      <c r="W34" s="105"/>
    </row>
    <row r="35" spans="1:23" s="36" customFormat="1" ht="28.5">
      <c r="A35" s="113" t="s">
        <v>121</v>
      </c>
      <c r="B35" s="106"/>
      <c r="C35" s="120">
        <v>0</v>
      </c>
      <c r="D35" s="121">
        <v>8.5</v>
      </c>
      <c r="E35" s="122">
        <v>3000</v>
      </c>
      <c r="F35" s="119">
        <v>2.5</v>
      </c>
      <c r="G35" s="123">
        <v>3001</v>
      </c>
      <c r="H35" s="128"/>
      <c r="I35" s="129"/>
      <c r="J35" s="127"/>
      <c r="K35" s="128"/>
      <c r="L35" s="129"/>
      <c r="M35" s="128"/>
      <c r="N35" s="114">
        <f>C35+D35+(F35*12)</f>
        <v>38.5</v>
      </c>
      <c r="O35" s="103">
        <v>10.61</v>
      </c>
      <c r="P35" s="103">
        <v>75.75</v>
      </c>
      <c r="Q35" s="103">
        <f t="shared" si="1"/>
        <v>86.36</v>
      </c>
      <c r="R35" s="103">
        <f t="shared" si="2"/>
        <v>124.86</v>
      </c>
      <c r="S35" s="104" t="s">
        <v>122</v>
      </c>
      <c r="T35" s="105"/>
      <c r="U35" s="105"/>
      <c r="V35" s="105"/>
      <c r="W35" s="105"/>
    </row>
    <row r="36" spans="1:23" s="36" customFormat="1" ht="57">
      <c r="A36" s="113" t="s">
        <v>45</v>
      </c>
      <c r="B36" s="106"/>
      <c r="C36" s="108">
        <v>0</v>
      </c>
      <c r="D36" s="103">
        <f>31-(4*5.05)</f>
        <v>10.8</v>
      </c>
      <c r="E36" s="109">
        <v>4000</v>
      </c>
      <c r="F36" s="106">
        <v>1.56</v>
      </c>
      <c r="G36" s="127">
        <v>4001</v>
      </c>
      <c r="H36" s="128"/>
      <c r="I36" s="129"/>
      <c r="J36" s="127"/>
      <c r="K36" s="128"/>
      <c r="L36" s="129"/>
      <c r="M36" s="128"/>
      <c r="N36" s="103">
        <f>(C36)+D36+(F36*11)</f>
        <v>27.96</v>
      </c>
      <c r="O36" s="103">
        <v>10.61</v>
      </c>
      <c r="P36" s="103">
        <v>75.75</v>
      </c>
      <c r="Q36" s="103">
        <f t="shared" si="1"/>
        <v>86.36</v>
      </c>
      <c r="R36" s="103">
        <f t="shared" si="2"/>
        <v>114.32</v>
      </c>
      <c r="S36" s="104" t="s">
        <v>115</v>
      </c>
      <c r="T36" s="105"/>
      <c r="U36" s="105"/>
      <c r="V36" s="105"/>
      <c r="W36" s="105"/>
    </row>
    <row r="37" spans="1:23" s="36" customFormat="1" ht="15.75" thickBot="1">
      <c r="A37" s="131" t="s">
        <v>57</v>
      </c>
      <c r="B37" s="132"/>
      <c r="C37" s="133">
        <v>39.43</v>
      </c>
      <c r="D37" s="134">
        <v>3.99</v>
      </c>
      <c r="E37" s="135">
        <v>1000</v>
      </c>
      <c r="F37" s="132"/>
      <c r="G37" s="136"/>
      <c r="H37" s="137"/>
      <c r="I37" s="138"/>
      <c r="J37" s="136"/>
      <c r="K37" s="137"/>
      <c r="L37" s="138"/>
      <c r="M37" s="137"/>
      <c r="N37" s="103">
        <f>(C37)+(D37*15)</f>
        <v>99.28</v>
      </c>
      <c r="O37" s="103">
        <v>10.61</v>
      </c>
      <c r="P37" s="103">
        <v>75.75</v>
      </c>
      <c r="Q37" s="103">
        <f t="shared" si="1"/>
        <v>86.36</v>
      </c>
      <c r="R37" s="103">
        <f t="shared" si="2"/>
        <v>185.64</v>
      </c>
      <c r="S37" s="104" t="s">
        <v>130</v>
      </c>
      <c r="T37" s="105"/>
      <c r="U37" s="105"/>
      <c r="V37" s="105"/>
      <c r="W37" s="105"/>
    </row>
    <row r="38" spans="1:23" s="36" customFormat="1">
      <c r="O38" s="36" t="s">
        <v>27</v>
      </c>
      <c r="P38" s="36" t="s">
        <v>27</v>
      </c>
      <c r="S38" s="87"/>
    </row>
    <row r="39" spans="1:23" s="36" customFormat="1">
      <c r="A39" s="33" t="s">
        <v>35</v>
      </c>
      <c r="B39" s="34"/>
      <c r="S39" s="87"/>
    </row>
    <row r="40" spans="1:23" s="36" customFormat="1">
      <c r="B40" s="36" t="s">
        <v>46</v>
      </c>
      <c r="S40" s="87"/>
    </row>
    <row r="41" spans="1:23" s="36" customFormat="1">
      <c r="B41" s="36" t="s">
        <v>220</v>
      </c>
      <c r="S41" s="87"/>
    </row>
    <row r="42" spans="1:23" s="36" customFormat="1">
      <c r="B42" s="36" t="s">
        <v>97</v>
      </c>
      <c r="S42" s="87"/>
    </row>
    <row r="43" spans="1:23" s="36" customFormat="1">
      <c r="S43" s="87"/>
    </row>
  </sheetData>
  <sheetProtection formatCells="0" formatColumns="0" formatRows="0"/>
  <pageMargins left="0.7" right="0.7" top="0.75" bottom="0.75" header="0.3" footer="0.3"/>
  <pageSetup paperSize="17" scale="80" fitToHeight="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50"/>
  <sheetViews>
    <sheetView topLeftCell="A25" zoomScaleNormal="100" workbookViewId="0">
      <selection activeCell="D55" sqref="D55"/>
    </sheetView>
  </sheetViews>
  <sheetFormatPr defaultRowHeight="15"/>
  <cols>
    <col min="1" max="1" width="19.42578125" style="35" bestFit="1" customWidth="1"/>
    <col min="2" max="2" width="9" style="35" customWidth="1"/>
    <col min="3" max="3" width="9.28515625" style="35" bestFit="1" customWidth="1"/>
    <col min="4" max="4" width="9" style="35" customWidth="1"/>
    <col min="5" max="5" width="7.28515625" style="35" customWidth="1"/>
    <col min="6" max="7" width="6.42578125" style="35" customWidth="1"/>
    <col min="8" max="8" width="7.140625" style="35" customWidth="1"/>
    <col min="9" max="9" width="6.42578125" style="35" customWidth="1"/>
    <col min="10" max="10" width="7.140625" style="35" bestFit="1" customWidth="1"/>
    <col min="11" max="11" width="7.140625" style="35" customWidth="1"/>
    <col min="12" max="13" width="6.42578125" style="35" customWidth="1"/>
    <col min="14" max="14" width="14.7109375" style="35" customWidth="1"/>
    <col min="15" max="15" width="10.85546875" style="35" bestFit="1" customWidth="1"/>
    <col min="16" max="16" width="16.5703125" style="35" bestFit="1" customWidth="1"/>
    <col min="17" max="17" width="10" style="35" bestFit="1" customWidth="1"/>
    <col min="18" max="18" width="11.5703125" style="35" bestFit="1" customWidth="1"/>
    <col min="19" max="19" width="123.85546875" style="35" customWidth="1"/>
    <col min="20" max="16384" width="9.140625" style="35"/>
  </cols>
  <sheetData>
    <row r="1" spans="1:19">
      <c r="B1" s="36">
        <v>2014</v>
      </c>
      <c r="C1" s="36" t="s">
        <v>38</v>
      </c>
      <c r="D1" s="36"/>
      <c r="E1" s="36"/>
      <c r="F1" s="36"/>
      <c r="S1" s="37"/>
    </row>
    <row r="2" spans="1:19">
      <c r="B2" s="36"/>
      <c r="C2" s="1" t="s">
        <v>47</v>
      </c>
      <c r="D2" s="36"/>
      <c r="E2" s="36"/>
      <c r="F2" s="36"/>
      <c r="S2" s="37"/>
    </row>
    <row r="3" spans="1:19">
      <c r="B3" s="2" t="s">
        <v>1</v>
      </c>
      <c r="S3" s="37"/>
    </row>
    <row r="4" spans="1:19">
      <c r="C4" s="2" t="s">
        <v>2</v>
      </c>
      <c r="D4" s="2"/>
      <c r="S4" s="37"/>
    </row>
    <row r="5" spans="1:19" ht="15.75" customHeight="1" thickBot="1">
      <c r="B5" s="35" t="s">
        <v>64</v>
      </c>
      <c r="C5" s="2"/>
      <c r="D5" s="2"/>
      <c r="S5" s="37"/>
    </row>
    <row r="6" spans="1:19" ht="15.75" thickBot="1">
      <c r="A6" s="38" t="s">
        <v>4</v>
      </c>
      <c r="B6" s="39" t="s">
        <v>5</v>
      </c>
      <c r="C6" s="39"/>
      <c r="D6" s="40" t="s">
        <v>40</v>
      </c>
      <c r="E6" s="41"/>
      <c r="F6" s="42"/>
      <c r="G6" s="43" t="s">
        <v>7</v>
      </c>
      <c r="H6" s="44"/>
      <c r="I6" s="42"/>
      <c r="J6" s="43" t="s">
        <v>8</v>
      </c>
      <c r="K6" s="44"/>
      <c r="L6" s="42" t="s">
        <v>9</v>
      </c>
      <c r="M6" s="45"/>
      <c r="N6" s="46" t="s">
        <v>41</v>
      </c>
      <c r="O6" s="3" t="s">
        <v>11</v>
      </c>
      <c r="P6" s="3" t="s">
        <v>12</v>
      </c>
      <c r="Q6" s="3" t="s">
        <v>13</v>
      </c>
      <c r="R6" s="3" t="s">
        <v>13</v>
      </c>
      <c r="S6" s="4" t="s">
        <v>3</v>
      </c>
    </row>
    <row r="7" spans="1:19" ht="15.75" thickBot="1">
      <c r="A7" s="47" t="s">
        <v>14</v>
      </c>
      <c r="B7" s="48" t="s">
        <v>15</v>
      </c>
      <c r="C7" s="49" t="s">
        <v>16</v>
      </c>
      <c r="D7" s="50" t="s">
        <v>17</v>
      </c>
      <c r="E7" s="47" t="s">
        <v>18</v>
      </c>
      <c r="F7" s="48" t="s">
        <v>17</v>
      </c>
      <c r="G7" s="51" t="s">
        <v>19</v>
      </c>
      <c r="H7" s="49" t="s">
        <v>20</v>
      </c>
      <c r="I7" s="48" t="s">
        <v>17</v>
      </c>
      <c r="J7" s="51" t="s">
        <v>19</v>
      </c>
      <c r="K7" s="49" t="s">
        <v>20</v>
      </c>
      <c r="L7" s="48" t="s">
        <v>17</v>
      </c>
      <c r="M7" s="52" t="s">
        <v>21</v>
      </c>
      <c r="N7" s="47" t="s">
        <v>22</v>
      </c>
      <c r="O7" s="5" t="s">
        <v>23</v>
      </c>
      <c r="P7" s="5" t="s">
        <v>24</v>
      </c>
      <c r="Q7" s="5" t="s">
        <v>11</v>
      </c>
      <c r="R7" s="5" t="s">
        <v>25</v>
      </c>
      <c r="S7" s="37"/>
    </row>
    <row r="8" spans="1:19" s="36" customFormat="1" ht="15.75" customHeight="1" thickBot="1">
      <c r="A8" s="53" t="s">
        <v>209</v>
      </c>
      <c r="B8" s="54">
        <f>6.75-3.54</f>
        <v>3.21</v>
      </c>
      <c r="C8" s="55"/>
      <c r="D8" s="56">
        <f>8.85-5.05</f>
        <v>3.8</v>
      </c>
      <c r="E8" s="6">
        <v>1000</v>
      </c>
      <c r="F8" s="57"/>
      <c r="G8" s="58"/>
      <c r="H8" s="59"/>
      <c r="I8" s="57"/>
      <c r="J8" s="58"/>
      <c r="K8" s="59"/>
      <c r="L8" s="54"/>
      <c r="M8" s="60"/>
      <c r="N8" s="7">
        <f>(B8*3)+(D8*15)</f>
        <v>66.63</v>
      </c>
      <c r="O8" s="7">
        <v>10.61</v>
      </c>
      <c r="P8" s="7">
        <v>75.75</v>
      </c>
      <c r="Q8" s="7">
        <f>O8+P8</f>
        <v>86.36</v>
      </c>
      <c r="R8" s="7">
        <f>N8+Q8</f>
        <v>152.99</v>
      </c>
      <c r="S8" s="10" t="s">
        <v>210</v>
      </c>
    </row>
    <row r="9" spans="1:19" s="36" customFormat="1" ht="15.75" thickBot="1">
      <c r="A9" s="61" t="s">
        <v>70</v>
      </c>
      <c r="B9" s="8">
        <v>0</v>
      </c>
      <c r="C9" s="62"/>
      <c r="D9" s="9">
        <v>5.5</v>
      </c>
      <c r="E9" s="6">
        <v>1000</v>
      </c>
      <c r="F9" s="8"/>
      <c r="G9" s="63"/>
      <c r="H9" s="64"/>
      <c r="I9" s="65"/>
      <c r="J9" s="63"/>
      <c r="K9" s="64"/>
      <c r="L9" s="8"/>
      <c r="M9" s="63"/>
      <c r="N9" s="7">
        <f>(B9*3)+(D9*15)</f>
        <v>82.5</v>
      </c>
      <c r="O9" s="7">
        <v>10.61</v>
      </c>
      <c r="P9" s="7">
        <v>75.75</v>
      </c>
      <c r="Q9" s="7">
        <f t="shared" ref="Q9:Q43" si="0">O9+P9</f>
        <v>86.36</v>
      </c>
      <c r="R9" s="7">
        <f t="shared" ref="R9:R43" si="1">N9+Q9</f>
        <v>168.86</v>
      </c>
      <c r="S9" s="10" t="s">
        <v>129</v>
      </c>
    </row>
    <row r="10" spans="1:19" s="36" customFormat="1" ht="27" thickBot="1">
      <c r="A10" s="61" t="s">
        <v>74</v>
      </c>
      <c r="B10" s="8">
        <f>13-3.54</f>
        <v>9.4600000000000009</v>
      </c>
      <c r="C10" s="62" t="s">
        <v>27</v>
      </c>
      <c r="D10" s="9">
        <f>7.2-5.05</f>
        <v>2.1500000000000004</v>
      </c>
      <c r="E10" s="6">
        <v>1000</v>
      </c>
      <c r="F10" s="8"/>
      <c r="G10" s="63"/>
      <c r="H10" s="64"/>
      <c r="I10" s="65"/>
      <c r="J10" s="63"/>
      <c r="K10" s="64"/>
      <c r="L10" s="8"/>
      <c r="M10" s="63"/>
      <c r="N10" s="7">
        <f t="shared" ref="N10:N20" si="2">(B10*3)+(D10*15)</f>
        <v>60.63000000000001</v>
      </c>
      <c r="O10" s="7">
        <v>10.61</v>
      </c>
      <c r="P10" s="7">
        <v>75.75</v>
      </c>
      <c r="Q10" s="7">
        <f t="shared" si="0"/>
        <v>86.36</v>
      </c>
      <c r="R10" s="7">
        <f>N10+Q10</f>
        <v>146.99</v>
      </c>
      <c r="S10" s="10" t="s">
        <v>137</v>
      </c>
    </row>
    <row r="11" spans="1:19" s="36" customFormat="1" ht="15.75" thickBot="1">
      <c r="A11" s="61" t="s">
        <v>69</v>
      </c>
      <c r="B11" s="8">
        <f>6.61-3.54</f>
        <v>3.0700000000000003</v>
      </c>
      <c r="C11" s="62"/>
      <c r="D11" s="9">
        <f>11.11-5.05</f>
        <v>6.06</v>
      </c>
      <c r="E11" s="6">
        <v>1000</v>
      </c>
      <c r="F11" s="8"/>
      <c r="G11" s="63"/>
      <c r="H11" s="64"/>
      <c r="I11" s="65"/>
      <c r="J11" s="63"/>
      <c r="K11" s="64"/>
      <c r="L11" s="8"/>
      <c r="M11" s="63"/>
      <c r="N11" s="7">
        <f t="shared" si="2"/>
        <v>100.10999999999999</v>
      </c>
      <c r="O11" s="7">
        <v>10.61</v>
      </c>
      <c r="P11" s="7">
        <v>75.75</v>
      </c>
      <c r="Q11" s="7">
        <f t="shared" si="0"/>
        <v>86.36</v>
      </c>
      <c r="R11" s="7">
        <f t="shared" si="1"/>
        <v>186.46999999999997</v>
      </c>
      <c r="S11" s="10" t="s">
        <v>138</v>
      </c>
    </row>
    <row r="12" spans="1:19" s="36" customFormat="1" ht="15.75" thickBot="1">
      <c r="A12" s="61" t="s">
        <v>154</v>
      </c>
      <c r="B12" s="8">
        <v>0</v>
      </c>
      <c r="C12" s="62" t="s">
        <v>27</v>
      </c>
      <c r="D12" s="9">
        <v>4.5</v>
      </c>
      <c r="E12" s="6">
        <v>1000</v>
      </c>
      <c r="F12" s="8"/>
      <c r="G12" s="63"/>
      <c r="H12" s="64"/>
      <c r="I12" s="65"/>
      <c r="J12" s="63"/>
      <c r="K12" s="64"/>
      <c r="L12" s="8"/>
      <c r="M12" s="63"/>
      <c r="N12" s="7">
        <f t="shared" si="2"/>
        <v>67.5</v>
      </c>
      <c r="O12" s="7">
        <v>10.61</v>
      </c>
      <c r="P12" s="7">
        <v>75.75</v>
      </c>
      <c r="Q12" s="7">
        <f t="shared" si="0"/>
        <v>86.36</v>
      </c>
      <c r="R12" s="7">
        <f t="shared" si="1"/>
        <v>153.86000000000001</v>
      </c>
      <c r="S12" s="10" t="s">
        <v>155</v>
      </c>
    </row>
    <row r="13" spans="1:19" s="36" customFormat="1" ht="15.75" thickBot="1">
      <c r="A13" s="61" t="s">
        <v>80</v>
      </c>
      <c r="B13" s="8">
        <v>0</v>
      </c>
      <c r="C13" s="62">
        <v>3.54</v>
      </c>
      <c r="D13" s="9">
        <v>7</v>
      </c>
      <c r="E13" s="6">
        <v>1000</v>
      </c>
      <c r="F13" s="8"/>
      <c r="G13" s="63"/>
      <c r="H13" s="64"/>
      <c r="I13" s="65"/>
      <c r="J13" s="63"/>
      <c r="K13" s="64"/>
      <c r="L13" s="8"/>
      <c r="M13" s="63"/>
      <c r="N13" s="7">
        <f>(C13)+(D13*15)</f>
        <v>108.54</v>
      </c>
      <c r="O13" s="7">
        <v>10.61</v>
      </c>
      <c r="P13" s="7">
        <v>75.75</v>
      </c>
      <c r="Q13" s="7">
        <f t="shared" si="0"/>
        <v>86.36</v>
      </c>
      <c r="R13" s="7">
        <f t="shared" si="1"/>
        <v>194.9</v>
      </c>
      <c r="S13" s="10" t="s">
        <v>190</v>
      </c>
    </row>
    <row r="14" spans="1:19" s="36" customFormat="1" ht="15.75" thickBot="1">
      <c r="A14" s="61" t="s">
        <v>53</v>
      </c>
      <c r="B14" s="8">
        <v>0</v>
      </c>
      <c r="C14" s="62" t="s">
        <v>27</v>
      </c>
      <c r="D14" s="9">
        <v>4.8</v>
      </c>
      <c r="E14" s="6">
        <v>1000</v>
      </c>
      <c r="F14" s="8"/>
      <c r="G14" s="63"/>
      <c r="H14" s="64"/>
      <c r="I14" s="65"/>
      <c r="J14" s="63"/>
      <c r="K14" s="64"/>
      <c r="L14" s="8"/>
      <c r="M14" s="63"/>
      <c r="N14" s="7">
        <f t="shared" si="2"/>
        <v>72</v>
      </c>
      <c r="O14" s="7">
        <v>10.61</v>
      </c>
      <c r="P14" s="7">
        <v>75.75</v>
      </c>
      <c r="Q14" s="7">
        <f t="shared" si="0"/>
        <v>86.36</v>
      </c>
      <c r="R14" s="7">
        <f t="shared" si="1"/>
        <v>158.36000000000001</v>
      </c>
      <c r="S14" s="10" t="s">
        <v>185</v>
      </c>
    </row>
    <row r="15" spans="1:19" s="36" customFormat="1" ht="15.75" thickBot="1">
      <c r="A15" s="61" t="s">
        <v>152</v>
      </c>
      <c r="B15" s="8">
        <f>4.25-3.54</f>
        <v>0.71</v>
      </c>
      <c r="C15" s="62"/>
      <c r="D15" s="9">
        <v>5.05</v>
      </c>
      <c r="E15" s="6">
        <v>1000</v>
      </c>
      <c r="F15" s="8"/>
      <c r="G15" s="63"/>
      <c r="H15" s="64"/>
      <c r="I15" s="65"/>
      <c r="J15" s="63"/>
      <c r="K15" s="64"/>
      <c r="L15" s="8"/>
      <c r="M15" s="63"/>
      <c r="N15" s="7">
        <f>(B15*3)+(D15*15)</f>
        <v>77.88</v>
      </c>
      <c r="O15" s="7">
        <v>10.61</v>
      </c>
      <c r="P15" s="7">
        <v>75.75</v>
      </c>
      <c r="Q15" s="7">
        <f t="shared" si="0"/>
        <v>86.36</v>
      </c>
      <c r="R15" s="7">
        <f t="shared" si="1"/>
        <v>164.24</v>
      </c>
      <c r="S15" s="10" t="s">
        <v>153</v>
      </c>
    </row>
    <row r="16" spans="1:19" s="36" customFormat="1" ht="27" thickBot="1">
      <c r="A16" s="61" t="s">
        <v>96</v>
      </c>
      <c r="B16" s="8">
        <v>2.25</v>
      </c>
      <c r="C16" s="62" t="s">
        <v>27</v>
      </c>
      <c r="D16" s="9">
        <v>8</v>
      </c>
      <c r="E16" s="6">
        <v>1000</v>
      </c>
      <c r="F16" s="8"/>
      <c r="G16" s="63"/>
      <c r="H16" s="64"/>
      <c r="I16" s="65"/>
      <c r="J16" s="63"/>
      <c r="K16" s="64"/>
      <c r="L16" s="8"/>
      <c r="M16" s="63"/>
      <c r="N16" s="7">
        <f t="shared" si="2"/>
        <v>126.75</v>
      </c>
      <c r="O16" s="7">
        <v>10.61</v>
      </c>
      <c r="P16" s="7">
        <v>75.75</v>
      </c>
      <c r="Q16" s="7">
        <f t="shared" si="0"/>
        <v>86.36</v>
      </c>
      <c r="R16" s="7">
        <f t="shared" si="1"/>
        <v>213.11</v>
      </c>
      <c r="S16" s="10" t="s">
        <v>188</v>
      </c>
    </row>
    <row r="17" spans="1:19" s="36" customFormat="1" ht="15.75" thickBot="1">
      <c r="A17" s="61" t="s">
        <v>83</v>
      </c>
      <c r="B17" s="8">
        <v>0</v>
      </c>
      <c r="C17" s="62" t="s">
        <v>27</v>
      </c>
      <c r="D17" s="9">
        <v>4.5</v>
      </c>
      <c r="E17" s="6">
        <v>1000</v>
      </c>
      <c r="F17" s="8"/>
      <c r="G17" s="63"/>
      <c r="H17" s="64"/>
      <c r="I17" s="65"/>
      <c r="J17" s="63"/>
      <c r="K17" s="64"/>
      <c r="L17" s="8"/>
      <c r="M17" s="63"/>
      <c r="N17" s="7">
        <f t="shared" si="2"/>
        <v>67.5</v>
      </c>
      <c r="O17" s="7">
        <v>10.61</v>
      </c>
      <c r="P17" s="7">
        <v>75.75</v>
      </c>
      <c r="Q17" s="7">
        <f t="shared" si="0"/>
        <v>86.36</v>
      </c>
      <c r="R17" s="7">
        <f t="shared" si="1"/>
        <v>153.86000000000001</v>
      </c>
      <c r="S17" s="10" t="s">
        <v>135</v>
      </c>
    </row>
    <row r="18" spans="1:19" s="36" customFormat="1" ht="15.75" thickBot="1">
      <c r="A18" s="61" t="s">
        <v>133</v>
      </c>
      <c r="B18" s="8">
        <v>0</v>
      </c>
      <c r="C18" s="62" t="s">
        <v>27</v>
      </c>
      <c r="D18" s="9">
        <v>4</v>
      </c>
      <c r="E18" s="6">
        <v>1000</v>
      </c>
      <c r="F18" s="8"/>
      <c r="G18" s="63"/>
      <c r="H18" s="64"/>
      <c r="I18" s="65"/>
      <c r="J18" s="63"/>
      <c r="K18" s="64"/>
      <c r="L18" s="8"/>
      <c r="M18" s="63"/>
      <c r="N18" s="7">
        <f t="shared" si="2"/>
        <v>60</v>
      </c>
      <c r="O18" s="7">
        <v>10.61</v>
      </c>
      <c r="P18" s="7">
        <v>75.75</v>
      </c>
      <c r="Q18" s="7">
        <f t="shared" si="0"/>
        <v>86.36</v>
      </c>
      <c r="R18" s="7">
        <f t="shared" si="1"/>
        <v>146.36000000000001</v>
      </c>
      <c r="S18" s="10" t="s">
        <v>134</v>
      </c>
    </row>
    <row r="19" spans="1:19" s="36" customFormat="1" ht="15.75" thickBot="1">
      <c r="A19" s="61" t="s">
        <v>162</v>
      </c>
      <c r="B19" s="8">
        <f>6.27-3.54</f>
        <v>2.7299999999999995</v>
      </c>
      <c r="C19" s="62"/>
      <c r="D19" s="9">
        <f>9.98-5.05</f>
        <v>4.9300000000000006</v>
      </c>
      <c r="E19" s="6">
        <v>1000</v>
      </c>
      <c r="F19" s="8"/>
      <c r="G19" s="63"/>
      <c r="H19" s="64"/>
      <c r="I19" s="65"/>
      <c r="J19" s="63"/>
      <c r="K19" s="64"/>
      <c r="L19" s="8"/>
      <c r="M19" s="63"/>
      <c r="N19" s="7">
        <f t="shared" si="2"/>
        <v>82.14</v>
      </c>
      <c r="O19" s="7">
        <v>10.61</v>
      </c>
      <c r="P19" s="7">
        <v>75.75</v>
      </c>
      <c r="Q19" s="7">
        <f t="shared" si="0"/>
        <v>86.36</v>
      </c>
      <c r="R19" s="7">
        <f t="shared" si="1"/>
        <v>168.5</v>
      </c>
      <c r="S19" s="10" t="s">
        <v>163</v>
      </c>
    </row>
    <row r="20" spans="1:19" s="36" customFormat="1" ht="27" thickBot="1">
      <c r="A20" s="66" t="s">
        <v>84</v>
      </c>
      <c r="B20" s="67">
        <f>6.5-3.54</f>
        <v>2.96</v>
      </c>
      <c r="C20" s="68" t="s">
        <v>27</v>
      </c>
      <c r="D20" s="69">
        <f>8.55-5.05</f>
        <v>3.5000000000000009</v>
      </c>
      <c r="E20" s="6">
        <v>1000</v>
      </c>
      <c r="F20" s="67"/>
      <c r="G20" s="70"/>
      <c r="H20" s="71"/>
      <c r="I20" s="72"/>
      <c r="J20" s="70"/>
      <c r="K20" s="71"/>
      <c r="L20" s="67"/>
      <c r="M20" s="70"/>
      <c r="N20" s="7">
        <f t="shared" si="2"/>
        <v>61.38000000000001</v>
      </c>
      <c r="O20" s="7">
        <v>10.61</v>
      </c>
      <c r="P20" s="7">
        <v>75.75</v>
      </c>
      <c r="Q20" s="7">
        <f t="shared" si="0"/>
        <v>86.36</v>
      </c>
      <c r="R20" s="7">
        <f t="shared" si="1"/>
        <v>147.74</v>
      </c>
      <c r="S20" s="10" t="s">
        <v>201</v>
      </c>
    </row>
    <row r="21" spans="1:19" s="36" customFormat="1" ht="15.75" thickBot="1">
      <c r="A21" s="61" t="s">
        <v>94</v>
      </c>
      <c r="B21" s="8">
        <v>0.38</v>
      </c>
      <c r="C21" s="9"/>
      <c r="D21" s="7">
        <v>3.75</v>
      </c>
      <c r="E21" s="6">
        <v>1000</v>
      </c>
      <c r="F21" s="8"/>
      <c r="G21" s="63"/>
      <c r="H21" s="11"/>
      <c r="I21" s="65"/>
      <c r="J21" s="63"/>
      <c r="K21" s="11"/>
      <c r="L21" s="8"/>
      <c r="M21" s="11"/>
      <c r="N21" s="7">
        <f>(B21*3)+(D21*15)</f>
        <v>57.39</v>
      </c>
      <c r="O21" s="7">
        <v>10.61</v>
      </c>
      <c r="P21" s="7">
        <v>75.75</v>
      </c>
      <c r="Q21" s="7">
        <f t="shared" si="0"/>
        <v>86.36</v>
      </c>
      <c r="R21" s="7">
        <f t="shared" si="1"/>
        <v>143.75</v>
      </c>
      <c r="S21" s="10" t="s">
        <v>189</v>
      </c>
    </row>
    <row r="22" spans="1:19" s="36" customFormat="1" ht="15.75" thickBot="1">
      <c r="A22" s="61" t="s">
        <v>75</v>
      </c>
      <c r="B22" s="8"/>
      <c r="C22" s="9"/>
      <c r="D22" s="7">
        <f>7-5.05</f>
        <v>1.9500000000000002</v>
      </c>
      <c r="E22" s="6">
        <v>1000</v>
      </c>
      <c r="F22" s="8"/>
      <c r="G22" s="12"/>
      <c r="H22" s="13"/>
      <c r="I22" s="14"/>
      <c r="J22" s="12"/>
      <c r="K22" s="13"/>
      <c r="L22" s="14"/>
      <c r="M22" s="13"/>
      <c r="N22" s="7">
        <f>(C22)+(D22*15)</f>
        <v>29.250000000000004</v>
      </c>
      <c r="O22" s="7">
        <v>10.61</v>
      </c>
      <c r="P22" s="7">
        <v>75.75</v>
      </c>
      <c r="Q22" s="7">
        <f t="shared" si="0"/>
        <v>86.36</v>
      </c>
      <c r="R22" s="7">
        <f t="shared" si="1"/>
        <v>115.61</v>
      </c>
      <c r="S22" s="10" t="s">
        <v>101</v>
      </c>
    </row>
    <row r="23" spans="1:19" s="36" customFormat="1" ht="15.75" thickBot="1">
      <c r="A23" s="61" t="s">
        <v>198</v>
      </c>
      <c r="B23" s="8">
        <f>24.7-3.54</f>
        <v>21.16</v>
      </c>
      <c r="C23" s="9" t="s">
        <v>27</v>
      </c>
      <c r="D23" s="7">
        <f>9.46-5.05</f>
        <v>4.410000000000001</v>
      </c>
      <c r="E23" s="6">
        <v>1000</v>
      </c>
      <c r="F23" s="8"/>
      <c r="G23" s="12"/>
      <c r="H23" s="13"/>
      <c r="I23" s="14"/>
      <c r="J23" s="12"/>
      <c r="K23" s="13"/>
      <c r="L23" s="14"/>
      <c r="M23" s="13"/>
      <c r="N23" s="7">
        <f>(B23*3)+(D23*15)</f>
        <v>129.63000000000002</v>
      </c>
      <c r="O23" s="7">
        <v>10.61</v>
      </c>
      <c r="P23" s="7">
        <v>75.75</v>
      </c>
      <c r="Q23" s="7">
        <f t="shared" si="0"/>
        <v>86.36</v>
      </c>
      <c r="R23" s="7">
        <f t="shared" si="1"/>
        <v>215.99</v>
      </c>
      <c r="S23" s="10" t="s">
        <v>197</v>
      </c>
    </row>
    <row r="24" spans="1:19" s="36" customFormat="1" ht="15.75" thickBot="1">
      <c r="A24" s="61" t="s">
        <v>109</v>
      </c>
      <c r="B24" s="8">
        <v>1</v>
      </c>
      <c r="C24" s="9">
        <v>0</v>
      </c>
      <c r="D24" s="7">
        <f>8-4.32</f>
        <v>3.6799999999999997</v>
      </c>
      <c r="E24" s="6">
        <v>1000</v>
      </c>
      <c r="F24" s="8"/>
      <c r="G24" s="12"/>
      <c r="H24" s="13"/>
      <c r="I24" s="14"/>
      <c r="J24" s="12"/>
      <c r="K24" s="13"/>
      <c r="L24" s="14"/>
      <c r="M24" s="13"/>
      <c r="N24" s="7">
        <f>(C24)+(D24*15)</f>
        <v>55.199999999999996</v>
      </c>
      <c r="O24" s="7">
        <v>10.61</v>
      </c>
      <c r="P24" s="7">
        <v>75.75</v>
      </c>
      <c r="Q24" s="7">
        <f t="shared" si="0"/>
        <v>86.36</v>
      </c>
      <c r="R24" s="7">
        <f t="shared" si="1"/>
        <v>141.56</v>
      </c>
      <c r="S24" s="10" t="s">
        <v>110</v>
      </c>
    </row>
    <row r="25" spans="1:19" s="36" customFormat="1" ht="15.75" thickBot="1">
      <c r="A25" s="61" t="s">
        <v>52</v>
      </c>
      <c r="B25" s="8">
        <v>0</v>
      </c>
      <c r="C25" s="9" t="s">
        <v>27</v>
      </c>
      <c r="D25" s="7">
        <v>4.05</v>
      </c>
      <c r="E25" s="6">
        <v>1000</v>
      </c>
      <c r="F25" s="8"/>
      <c r="G25" s="12"/>
      <c r="H25" s="13"/>
      <c r="I25" s="14"/>
      <c r="J25" s="12"/>
      <c r="K25" s="13"/>
      <c r="L25" s="14"/>
      <c r="M25" s="13"/>
      <c r="N25" s="7">
        <f>(B25*3)+(D25*15)</f>
        <v>60.75</v>
      </c>
      <c r="O25" s="7">
        <v>10.61</v>
      </c>
      <c r="P25" s="7">
        <v>75.75</v>
      </c>
      <c r="Q25" s="7">
        <f t="shared" si="0"/>
        <v>86.36</v>
      </c>
      <c r="R25" s="7">
        <f t="shared" si="1"/>
        <v>147.11000000000001</v>
      </c>
      <c r="S25" s="10" t="s">
        <v>161</v>
      </c>
    </row>
    <row r="26" spans="1:19" s="36" customFormat="1" ht="27" thickBot="1">
      <c r="A26" s="73" t="s">
        <v>157</v>
      </c>
      <c r="B26" s="8">
        <v>0</v>
      </c>
      <c r="C26" s="9" t="s">
        <v>27</v>
      </c>
      <c r="D26" s="7">
        <v>7.12</v>
      </c>
      <c r="E26" s="6">
        <v>1000</v>
      </c>
      <c r="F26" s="8"/>
      <c r="G26" s="12"/>
      <c r="H26" s="13"/>
      <c r="I26" s="14"/>
      <c r="J26" s="12"/>
      <c r="K26" s="13"/>
      <c r="L26" s="14"/>
      <c r="M26" s="13"/>
      <c r="N26" s="7">
        <f>(B26*3)+(D26*15)</f>
        <v>106.8</v>
      </c>
      <c r="O26" s="7">
        <v>10.61</v>
      </c>
      <c r="P26" s="7">
        <v>75.75</v>
      </c>
      <c r="Q26" s="7">
        <f t="shared" si="0"/>
        <v>86.36</v>
      </c>
      <c r="R26" s="7">
        <f t="shared" si="1"/>
        <v>193.16</v>
      </c>
      <c r="S26" s="10" t="s">
        <v>156</v>
      </c>
    </row>
    <row r="27" spans="1:19" s="36" customFormat="1" ht="15.75" thickBot="1">
      <c r="A27" s="73" t="s">
        <v>183</v>
      </c>
      <c r="B27" s="8">
        <f>2.88-3.54</f>
        <v>-0.66000000000000014</v>
      </c>
      <c r="C27" s="9"/>
      <c r="D27" s="7">
        <f>7.59-5.05</f>
        <v>2.54</v>
      </c>
      <c r="E27" s="6">
        <v>1000</v>
      </c>
      <c r="F27" s="8"/>
      <c r="G27" s="12"/>
      <c r="H27" s="13"/>
      <c r="I27" s="14"/>
      <c r="J27" s="12"/>
      <c r="K27" s="13"/>
      <c r="L27" s="14"/>
      <c r="M27" s="13"/>
      <c r="N27" s="7">
        <f>(B27*3)+(D27*15)</f>
        <v>36.120000000000005</v>
      </c>
      <c r="O27" s="7">
        <v>10.61</v>
      </c>
      <c r="P27" s="7">
        <v>75.75</v>
      </c>
      <c r="Q27" s="7">
        <f t="shared" si="0"/>
        <v>86.36</v>
      </c>
      <c r="R27" s="7">
        <f t="shared" si="1"/>
        <v>122.48</v>
      </c>
      <c r="S27" s="10" t="s">
        <v>184</v>
      </c>
    </row>
    <row r="28" spans="1:19" s="36" customFormat="1" ht="15.75" thickBot="1">
      <c r="A28" s="73" t="s">
        <v>191</v>
      </c>
      <c r="B28" s="8">
        <v>0</v>
      </c>
      <c r="C28" s="9" t="s">
        <v>27</v>
      </c>
      <c r="D28" s="7">
        <f>22.5-3.54-(5.05*3)</f>
        <v>3.8100000000000023</v>
      </c>
      <c r="E28" s="6">
        <v>3000</v>
      </c>
      <c r="F28" s="8">
        <f>7.5-5.05</f>
        <v>2.4500000000000002</v>
      </c>
      <c r="G28" s="12">
        <v>3001</v>
      </c>
      <c r="H28" s="13"/>
      <c r="I28" s="14"/>
      <c r="J28" s="12"/>
      <c r="K28" s="13"/>
      <c r="L28" s="14"/>
      <c r="M28" s="13"/>
      <c r="N28" s="7">
        <f>B28 + (D28*3)+(F28*6)</f>
        <v>26.13000000000001</v>
      </c>
      <c r="O28" s="7">
        <v>10.61</v>
      </c>
      <c r="P28" s="7">
        <v>75.75</v>
      </c>
      <c r="Q28" s="7">
        <f t="shared" si="0"/>
        <v>86.36</v>
      </c>
      <c r="R28" s="7">
        <f t="shared" si="1"/>
        <v>112.49000000000001</v>
      </c>
      <c r="S28" s="10" t="s">
        <v>192</v>
      </c>
    </row>
    <row r="29" spans="1:19" s="36" customFormat="1" ht="27" thickBot="1">
      <c r="A29" s="61" t="s">
        <v>67</v>
      </c>
      <c r="B29" s="8">
        <v>0</v>
      </c>
      <c r="C29" s="9" t="s">
        <v>27</v>
      </c>
      <c r="D29" s="7">
        <f>17.85-5.05-3.54</f>
        <v>9.2600000000000016</v>
      </c>
      <c r="E29" s="6">
        <v>1000</v>
      </c>
      <c r="F29" s="8">
        <v>3.45</v>
      </c>
      <c r="G29" s="12">
        <v>1001</v>
      </c>
      <c r="H29" s="13"/>
      <c r="I29" s="14"/>
      <c r="J29" s="12"/>
      <c r="K29" s="13"/>
      <c r="L29" s="14"/>
      <c r="M29" s="13"/>
      <c r="N29" s="7">
        <f>B29 + (D29*3)+(F29*12)</f>
        <v>69.180000000000007</v>
      </c>
      <c r="O29" s="7">
        <v>10.61</v>
      </c>
      <c r="P29" s="7">
        <v>75.75</v>
      </c>
      <c r="Q29" s="7">
        <f t="shared" si="0"/>
        <v>86.36</v>
      </c>
      <c r="R29" s="7">
        <f t="shared" si="1"/>
        <v>155.54000000000002</v>
      </c>
      <c r="S29" s="10" t="s">
        <v>132</v>
      </c>
    </row>
    <row r="30" spans="1:19" s="36" customFormat="1" ht="15.75" thickBot="1">
      <c r="A30" s="61" t="s">
        <v>176</v>
      </c>
      <c r="B30" s="8"/>
      <c r="C30" s="9">
        <f>31-10.61</f>
        <v>20.39</v>
      </c>
      <c r="D30" s="7">
        <f>5.6-5.05</f>
        <v>0.54999999999999982</v>
      </c>
      <c r="E30" s="6">
        <v>1000</v>
      </c>
      <c r="F30" s="8"/>
      <c r="G30" s="12"/>
      <c r="H30" s="13"/>
      <c r="I30" s="14"/>
      <c r="J30" s="12"/>
      <c r="K30" s="13"/>
      <c r="L30" s="14"/>
      <c r="M30" s="13"/>
      <c r="N30" s="7">
        <f>(C30)+(D30*15)</f>
        <v>28.639999999999997</v>
      </c>
      <c r="O30" s="7">
        <v>10.61</v>
      </c>
      <c r="P30" s="7">
        <v>75.75</v>
      </c>
      <c r="Q30" s="7">
        <f t="shared" si="0"/>
        <v>86.36</v>
      </c>
      <c r="R30" s="7">
        <f t="shared" si="1"/>
        <v>115</v>
      </c>
      <c r="S30" s="10" t="s">
        <v>139</v>
      </c>
    </row>
    <row r="31" spans="1:19" s="36" customFormat="1" ht="39.75" thickBot="1">
      <c r="A31" s="61" t="s">
        <v>32</v>
      </c>
      <c r="B31" s="8">
        <v>0</v>
      </c>
      <c r="C31" s="9"/>
      <c r="D31" s="7">
        <v>3.72</v>
      </c>
      <c r="E31" s="6">
        <v>1000</v>
      </c>
      <c r="F31" s="8"/>
      <c r="G31" s="12"/>
      <c r="H31" s="13"/>
      <c r="I31" s="14"/>
      <c r="J31" s="12"/>
      <c r="K31" s="13"/>
      <c r="L31" s="14"/>
      <c r="M31" s="13"/>
      <c r="N31" s="7">
        <f>(B31*3)+(D31*15)</f>
        <v>55.800000000000004</v>
      </c>
      <c r="O31" s="7">
        <v>10.61</v>
      </c>
      <c r="P31" s="7">
        <v>75.75</v>
      </c>
      <c r="Q31" s="7">
        <f t="shared" si="0"/>
        <v>86.36</v>
      </c>
      <c r="R31" s="7">
        <f t="shared" si="1"/>
        <v>142.16</v>
      </c>
      <c r="S31" s="10" t="s">
        <v>148</v>
      </c>
    </row>
    <row r="32" spans="1:19" s="36" customFormat="1" ht="15.75" thickBot="1">
      <c r="A32" s="61" t="s">
        <v>79</v>
      </c>
      <c r="B32" s="8">
        <f>6.67-3.02</f>
        <v>3.65</v>
      </c>
      <c r="C32" s="9" t="s">
        <v>27</v>
      </c>
      <c r="D32" s="7">
        <f>7.3-5.05</f>
        <v>2.25</v>
      </c>
      <c r="E32" s="6">
        <v>1000</v>
      </c>
      <c r="F32" s="8"/>
      <c r="G32" s="12"/>
      <c r="H32" s="13"/>
      <c r="I32" s="14"/>
      <c r="J32" s="12"/>
      <c r="K32" s="13"/>
      <c r="L32" s="14"/>
      <c r="M32" s="13"/>
      <c r="N32" s="7">
        <f>(B32*3)+(D32*15)</f>
        <v>44.7</v>
      </c>
      <c r="O32" s="7">
        <v>10.61</v>
      </c>
      <c r="P32" s="7">
        <v>75.75</v>
      </c>
      <c r="Q32" s="7">
        <f t="shared" si="0"/>
        <v>86.36</v>
      </c>
      <c r="R32" s="7">
        <f t="shared" si="1"/>
        <v>131.06</v>
      </c>
      <c r="S32" s="10" t="s">
        <v>119</v>
      </c>
    </row>
    <row r="33" spans="1:19" s="36" customFormat="1" ht="15.75" thickBot="1">
      <c r="A33" s="61" t="s">
        <v>145</v>
      </c>
      <c r="B33" s="8"/>
      <c r="C33" s="9">
        <f>22.56-10.61</f>
        <v>11.95</v>
      </c>
      <c r="D33" s="7">
        <v>1.83</v>
      </c>
      <c r="E33" s="6">
        <v>1000</v>
      </c>
      <c r="F33" s="8"/>
      <c r="G33" s="12"/>
      <c r="H33" s="13"/>
      <c r="I33" s="14"/>
      <c r="J33" s="12"/>
      <c r="K33" s="13"/>
      <c r="L33" s="14"/>
      <c r="M33" s="13"/>
      <c r="N33" s="7">
        <f>(C33)+(D33*15)</f>
        <v>39.400000000000006</v>
      </c>
      <c r="O33" s="7">
        <v>10.61</v>
      </c>
      <c r="P33" s="7">
        <v>75.75</v>
      </c>
      <c r="Q33" s="7">
        <f t="shared" si="0"/>
        <v>86.36</v>
      </c>
      <c r="R33" s="7">
        <f t="shared" si="1"/>
        <v>125.76</v>
      </c>
      <c r="S33" s="10" t="s">
        <v>146</v>
      </c>
    </row>
    <row r="34" spans="1:19" s="36" customFormat="1" ht="18" thickBot="1">
      <c r="A34" s="61" t="s">
        <v>218</v>
      </c>
      <c r="B34" s="8">
        <v>0</v>
      </c>
      <c r="C34" s="9" t="s">
        <v>27</v>
      </c>
      <c r="D34" s="7">
        <v>6</v>
      </c>
      <c r="E34" s="6">
        <v>1000</v>
      </c>
      <c r="F34" s="8"/>
      <c r="G34" s="12"/>
      <c r="H34" s="13"/>
      <c r="I34" s="14"/>
      <c r="J34" s="12"/>
      <c r="K34" s="13"/>
      <c r="L34" s="14"/>
      <c r="M34" s="13"/>
      <c r="N34" s="7">
        <f>(B34*3)+(D34*15)</f>
        <v>90</v>
      </c>
      <c r="O34" s="7">
        <v>10.61</v>
      </c>
      <c r="P34" s="7">
        <v>75.75</v>
      </c>
      <c r="Q34" s="7">
        <f t="shared" si="0"/>
        <v>86.36</v>
      </c>
      <c r="R34" s="7">
        <f t="shared" si="1"/>
        <v>176.36</v>
      </c>
      <c r="S34" s="10" t="s">
        <v>78</v>
      </c>
    </row>
    <row r="35" spans="1:19" s="36" customFormat="1" ht="15.75" thickBot="1">
      <c r="A35" s="61" t="s">
        <v>76</v>
      </c>
      <c r="B35" s="8">
        <v>0</v>
      </c>
      <c r="C35" s="9" t="s">
        <v>27</v>
      </c>
      <c r="D35" s="7">
        <v>1.5</v>
      </c>
      <c r="E35" s="6">
        <v>1000</v>
      </c>
      <c r="F35" s="8"/>
      <c r="G35" s="12"/>
      <c r="H35" s="13"/>
      <c r="I35" s="14"/>
      <c r="J35" s="12"/>
      <c r="K35" s="13"/>
      <c r="L35" s="14"/>
      <c r="M35" s="13"/>
      <c r="N35" s="7">
        <f>(B35*3)+(D35*15)</f>
        <v>22.5</v>
      </c>
      <c r="O35" s="7">
        <v>10.61</v>
      </c>
      <c r="P35" s="7">
        <v>75.75</v>
      </c>
      <c r="Q35" s="7">
        <f t="shared" si="0"/>
        <v>86.36</v>
      </c>
      <c r="R35" s="7">
        <f t="shared" si="1"/>
        <v>108.86</v>
      </c>
      <c r="S35" s="10" t="s">
        <v>187</v>
      </c>
    </row>
    <row r="36" spans="1:19" s="36" customFormat="1" ht="27" thickBot="1">
      <c r="A36" s="61" t="s">
        <v>48</v>
      </c>
      <c r="B36" s="8">
        <f>12-3.54</f>
        <v>8.4600000000000009</v>
      </c>
      <c r="C36" s="9"/>
      <c r="D36" s="7">
        <f>7.6-5.05</f>
        <v>2.5499999999999998</v>
      </c>
      <c r="E36" s="6">
        <v>1000</v>
      </c>
      <c r="F36" s="8"/>
      <c r="G36" s="12"/>
      <c r="H36" s="13"/>
      <c r="I36" s="14"/>
      <c r="J36" s="12"/>
      <c r="K36" s="13"/>
      <c r="L36" s="14"/>
      <c r="M36" s="13"/>
      <c r="N36" s="7">
        <f>(B36*3)+(D36*15)</f>
        <v>63.63</v>
      </c>
      <c r="O36" s="7">
        <v>10.61</v>
      </c>
      <c r="P36" s="7">
        <v>75.75</v>
      </c>
      <c r="Q36" s="7">
        <f t="shared" si="0"/>
        <v>86.36</v>
      </c>
      <c r="R36" s="7">
        <f t="shared" si="1"/>
        <v>149.99</v>
      </c>
      <c r="S36" s="10" t="s">
        <v>140</v>
      </c>
    </row>
    <row r="37" spans="1:19" s="36" customFormat="1" ht="15.75" thickBot="1">
      <c r="A37" s="61" t="s">
        <v>95</v>
      </c>
      <c r="B37" s="8"/>
      <c r="C37" s="9">
        <v>0</v>
      </c>
      <c r="D37" s="7">
        <v>4.5</v>
      </c>
      <c r="E37" s="6">
        <v>1000</v>
      </c>
      <c r="F37" s="8"/>
      <c r="G37" s="12"/>
      <c r="H37" s="13"/>
      <c r="I37" s="14"/>
      <c r="J37" s="12"/>
      <c r="K37" s="13"/>
      <c r="L37" s="14"/>
      <c r="M37" s="13"/>
      <c r="N37" s="7">
        <f>(C37)+(D37*15)</f>
        <v>67.5</v>
      </c>
      <c r="O37" s="7">
        <v>10.61</v>
      </c>
      <c r="P37" s="7">
        <v>75.75</v>
      </c>
      <c r="Q37" s="7">
        <f t="shared" si="0"/>
        <v>86.36</v>
      </c>
      <c r="R37" s="7">
        <f t="shared" si="1"/>
        <v>153.86000000000001</v>
      </c>
      <c r="S37" s="10" t="s">
        <v>149</v>
      </c>
    </row>
    <row r="38" spans="1:19" s="36" customFormat="1" ht="15.75" thickBot="1">
      <c r="A38" s="61" t="s">
        <v>54</v>
      </c>
      <c r="B38" s="8"/>
      <c r="C38" s="9">
        <v>0</v>
      </c>
      <c r="D38" s="7">
        <v>0</v>
      </c>
      <c r="E38" s="6">
        <v>1000</v>
      </c>
      <c r="F38" s="8"/>
      <c r="G38" s="12"/>
      <c r="H38" s="13"/>
      <c r="I38" s="14"/>
      <c r="J38" s="12"/>
      <c r="K38" s="13"/>
      <c r="L38" s="14"/>
      <c r="M38" s="13"/>
      <c r="N38" s="7">
        <f>C38+(D38*E38)</f>
        <v>0</v>
      </c>
      <c r="O38" s="7">
        <v>10.61</v>
      </c>
      <c r="P38" s="7">
        <v>75.75</v>
      </c>
      <c r="Q38" s="7">
        <f t="shared" si="0"/>
        <v>86.36</v>
      </c>
      <c r="R38" s="7">
        <f t="shared" si="1"/>
        <v>86.36</v>
      </c>
      <c r="S38" s="10" t="s">
        <v>107</v>
      </c>
    </row>
    <row r="39" spans="1:19" s="36" customFormat="1" ht="15.75" thickBot="1">
      <c r="A39" s="61" t="s">
        <v>68</v>
      </c>
      <c r="B39" s="8">
        <v>4.42</v>
      </c>
      <c r="C39" s="9" t="s">
        <v>27</v>
      </c>
      <c r="D39" s="7">
        <f>(5.05*2.25)-5.05</f>
        <v>6.3124999999999991</v>
      </c>
      <c r="E39" s="6">
        <v>1000</v>
      </c>
      <c r="F39" s="8"/>
      <c r="G39" s="12"/>
      <c r="H39" s="13"/>
      <c r="I39" s="14"/>
      <c r="J39" s="12"/>
      <c r="K39" s="13"/>
      <c r="L39" s="14"/>
      <c r="M39" s="13"/>
      <c r="N39" s="7">
        <f>(B39*3)+(D39*15)</f>
        <v>107.94749999999999</v>
      </c>
      <c r="O39" s="7">
        <v>10.61</v>
      </c>
      <c r="P39" s="7">
        <v>75.75</v>
      </c>
      <c r="Q39" s="7">
        <f t="shared" si="0"/>
        <v>86.36</v>
      </c>
      <c r="R39" s="7">
        <f t="shared" si="1"/>
        <v>194.3075</v>
      </c>
      <c r="S39" s="10" t="s">
        <v>105</v>
      </c>
    </row>
    <row r="40" spans="1:19" s="36" customFormat="1" ht="15.75" thickBot="1">
      <c r="A40" s="61" t="s">
        <v>126</v>
      </c>
      <c r="B40" s="8">
        <v>1.06</v>
      </c>
      <c r="C40" s="9"/>
      <c r="D40" s="7">
        <v>3.95</v>
      </c>
      <c r="E40" s="6">
        <v>1000</v>
      </c>
      <c r="F40" s="8"/>
      <c r="G40" s="12"/>
      <c r="H40" s="13"/>
      <c r="I40" s="14"/>
      <c r="J40" s="12"/>
      <c r="K40" s="13"/>
      <c r="L40" s="14"/>
      <c r="M40" s="13"/>
      <c r="N40" s="7">
        <f>(B40*3)+(D40*15)</f>
        <v>62.43</v>
      </c>
      <c r="O40" s="7">
        <v>10.61</v>
      </c>
      <c r="P40" s="7">
        <v>75.75</v>
      </c>
      <c r="Q40" s="7">
        <f t="shared" si="0"/>
        <v>86.36</v>
      </c>
      <c r="R40" s="7">
        <f t="shared" si="1"/>
        <v>148.79</v>
      </c>
      <c r="S40" s="10" t="s">
        <v>127</v>
      </c>
    </row>
    <row r="41" spans="1:19" s="36" customFormat="1" ht="15.75" thickBot="1">
      <c r="A41" s="61" t="s">
        <v>212</v>
      </c>
      <c r="B41" s="8">
        <f>17-3.54</f>
        <v>13.46</v>
      </c>
      <c r="C41" s="9"/>
      <c r="D41" s="7">
        <f>7.58-5.05</f>
        <v>2.5300000000000002</v>
      </c>
      <c r="E41" s="6">
        <v>1000</v>
      </c>
      <c r="F41" s="8"/>
      <c r="G41" s="12"/>
      <c r="H41" s="13"/>
      <c r="I41" s="14"/>
      <c r="J41" s="12"/>
      <c r="K41" s="13" t="s">
        <v>27</v>
      </c>
      <c r="L41" s="14" t="s">
        <v>27</v>
      </c>
      <c r="M41" s="13" t="s">
        <v>27</v>
      </c>
      <c r="N41" s="7">
        <f>(B41*3)+(D41*15)</f>
        <v>78.330000000000013</v>
      </c>
      <c r="O41" s="7">
        <v>10.61</v>
      </c>
      <c r="P41" s="7">
        <v>75.75</v>
      </c>
      <c r="Q41" s="7">
        <f t="shared" si="0"/>
        <v>86.36</v>
      </c>
      <c r="R41" s="7">
        <f t="shared" si="1"/>
        <v>164.69</v>
      </c>
      <c r="S41" s="10" t="s">
        <v>213</v>
      </c>
    </row>
    <row r="42" spans="1:19" s="36" customFormat="1" ht="15.75" thickBot="1">
      <c r="A42" s="61" t="s">
        <v>49</v>
      </c>
      <c r="B42" s="8">
        <v>8.65</v>
      </c>
      <c r="C42" s="9"/>
      <c r="D42" s="7">
        <v>0</v>
      </c>
      <c r="E42" s="6">
        <v>1000</v>
      </c>
      <c r="F42" s="8"/>
      <c r="G42" s="12"/>
      <c r="H42" s="13"/>
      <c r="I42" s="14"/>
      <c r="J42" s="12"/>
      <c r="K42" s="13"/>
      <c r="L42" s="14"/>
      <c r="M42" s="13"/>
      <c r="N42" s="7">
        <f>(B42*3)+(D42*15)</f>
        <v>25.950000000000003</v>
      </c>
      <c r="O42" s="7">
        <v>10.61</v>
      </c>
      <c r="P42" s="7">
        <v>75.75</v>
      </c>
      <c r="Q42" s="7">
        <f t="shared" si="0"/>
        <v>86.36</v>
      </c>
      <c r="R42" s="7">
        <f t="shared" si="1"/>
        <v>112.31</v>
      </c>
      <c r="S42" s="10" t="s">
        <v>199</v>
      </c>
    </row>
    <row r="43" spans="1:19" s="36" customFormat="1">
      <c r="A43" s="73" t="s">
        <v>103</v>
      </c>
      <c r="B43" s="8"/>
      <c r="C43" s="9">
        <v>0</v>
      </c>
      <c r="D43" s="7">
        <f>11.98-5.05</f>
        <v>6.9300000000000006</v>
      </c>
      <c r="E43" s="6">
        <v>1000</v>
      </c>
      <c r="F43" s="8"/>
      <c r="G43" s="12"/>
      <c r="H43" s="13"/>
      <c r="I43" s="14"/>
      <c r="J43" s="12"/>
      <c r="K43" s="13"/>
      <c r="L43" s="14"/>
      <c r="M43" s="13"/>
      <c r="N43" s="7">
        <f>(C43)+(D43*15)</f>
        <v>103.95</v>
      </c>
      <c r="O43" s="7">
        <v>10.61</v>
      </c>
      <c r="P43" s="7">
        <v>75.75</v>
      </c>
      <c r="Q43" s="7">
        <f t="shared" si="0"/>
        <v>86.36</v>
      </c>
      <c r="R43" s="7">
        <f t="shared" si="1"/>
        <v>190.31</v>
      </c>
      <c r="S43" s="10" t="s">
        <v>104</v>
      </c>
    </row>
    <row r="44" spans="1:19" s="36" customFormat="1" ht="15.75" thickBot="1">
      <c r="A44" s="74"/>
      <c r="B44" s="15"/>
      <c r="C44" s="16"/>
      <c r="D44" s="17"/>
      <c r="E44" s="18"/>
      <c r="F44" s="19"/>
      <c r="G44" s="20"/>
      <c r="H44" s="21"/>
      <c r="I44" s="19"/>
      <c r="J44" s="20"/>
      <c r="K44" s="21"/>
      <c r="L44" s="19"/>
      <c r="M44" s="21"/>
      <c r="N44" s="17"/>
      <c r="O44" s="7" t="s">
        <v>27</v>
      </c>
      <c r="P44" s="7" t="s">
        <v>27</v>
      </c>
      <c r="Q44" s="7" t="s">
        <v>27</v>
      </c>
      <c r="R44" s="7" t="s">
        <v>27</v>
      </c>
      <c r="S44" s="10"/>
    </row>
    <row r="45" spans="1:19">
      <c r="S45" s="37"/>
    </row>
    <row r="46" spans="1:19">
      <c r="A46" s="2" t="s">
        <v>35</v>
      </c>
      <c r="B46" s="22"/>
      <c r="C46" s="36"/>
      <c r="D46" s="36"/>
      <c r="E46" s="36"/>
      <c r="F46" s="36"/>
      <c r="G46" s="36"/>
      <c r="H46" s="36"/>
      <c r="I46" s="36"/>
      <c r="J46" s="36"/>
      <c r="K46" s="36"/>
      <c r="L46" s="36"/>
      <c r="M46" s="36"/>
      <c r="N46" s="36"/>
      <c r="S46" s="37"/>
    </row>
    <row r="47" spans="1:19">
      <c r="B47" s="35" t="s">
        <v>36</v>
      </c>
      <c r="Q47" s="35" t="s">
        <v>27</v>
      </c>
      <c r="R47" s="75" t="s">
        <v>27</v>
      </c>
      <c r="S47" s="37"/>
    </row>
    <row r="48" spans="1:19">
      <c r="B48" s="23" t="s">
        <v>217</v>
      </c>
      <c r="C48" s="36"/>
      <c r="D48" s="36"/>
      <c r="E48" s="36"/>
      <c r="F48" s="36"/>
      <c r="G48" s="36"/>
      <c r="S48" s="37"/>
    </row>
    <row r="49" spans="2:19" ht="15.75">
      <c r="B49" s="76" t="s">
        <v>219</v>
      </c>
      <c r="C49" s="36"/>
      <c r="D49" s="36"/>
      <c r="E49" s="36"/>
      <c r="F49" s="36"/>
      <c r="G49" s="36"/>
      <c r="S49" s="37"/>
    </row>
    <row r="50" spans="2:19">
      <c r="B50" s="35" t="s">
        <v>97</v>
      </c>
    </row>
  </sheetData>
  <sheetProtection formatCells="0" formatColumns="0" formatRows="0"/>
  <pageMargins left="0.7" right="0.7" top="0.75" bottom="0.75" header="0.3" footer="0.3"/>
  <pageSetup paperSize="5" scale="94"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ALCOSAN Eastern Basin</vt:lpstr>
      <vt:lpstr>ALCOSAN Northern Basin</vt:lpstr>
      <vt:lpstr>ALCOSAN Southern Basin</vt:lpstr>
      <vt:lpstr>'ALCOSAN Eastern Basin'!Print_Area</vt:lpstr>
      <vt:lpstr>'ALCOSAN Southern Basin'!Print_Area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jbrown</dc:creator>
  <cp:lastModifiedBy>bhixson</cp:lastModifiedBy>
  <cp:lastPrinted>2014-03-19T15:11:24Z</cp:lastPrinted>
  <dcterms:created xsi:type="dcterms:W3CDTF">2010-10-20T16:43:27Z</dcterms:created>
  <dcterms:modified xsi:type="dcterms:W3CDTF">2014-05-15T18:40:44Z</dcterms:modified>
</cp:coreProperties>
</file>