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7490" windowHeight="11940"/>
  </bookViews>
  <sheets>
    <sheet name="ALCOSAN Eastern Basin" sheetId="1" r:id="rId1"/>
    <sheet name="ALCOSAN Northern Basin" sheetId="2" r:id="rId2"/>
    <sheet name="ALCOSAN Southern Basin" sheetId="3" r:id="rId3"/>
  </sheets>
  <definedNames>
    <definedName name="_xlnm.Print_Area" localSheetId="0">'ALCOSAN Eastern Basin'!$A$1:$R$39</definedName>
    <definedName name="_xlnm.Print_Area" localSheetId="1">'ALCOSAN Northern Basin'!$A$1:$R$42</definedName>
    <definedName name="_xlnm.Print_Area" localSheetId="2">'ALCOSAN Southern Basin'!$A$1:$R$50</definedName>
  </definedNames>
  <calcPr calcId="125725"/>
</workbook>
</file>

<file path=xl/calcChain.xml><?xml version="1.0" encoding="utf-8"?>
<calcChain xmlns="http://schemas.openxmlformats.org/spreadsheetml/2006/main">
  <c r="C16" i="2"/>
  <c r="N30" i="3" l="1"/>
  <c r="N26" i="1"/>
  <c r="C8"/>
  <c r="D16"/>
  <c r="D33" i="3"/>
  <c r="D21" i="1"/>
  <c r="D30" i="3"/>
  <c r="F29"/>
  <c r="D29"/>
  <c r="D23"/>
  <c r="B23"/>
  <c r="F21" i="1"/>
  <c r="D20" i="3"/>
  <c r="B20"/>
  <c r="D27"/>
  <c r="B27"/>
  <c r="C31" i="2"/>
  <c r="C32"/>
  <c r="F19" i="1"/>
  <c r="D19"/>
  <c r="D19" i="3"/>
  <c r="D13" i="2"/>
  <c r="C13"/>
  <c r="B11" i="3"/>
  <c r="D41"/>
  <c r="B41"/>
  <c r="D30" i="1"/>
  <c r="D22" i="3"/>
  <c r="D13" i="1"/>
  <c r="C13"/>
  <c r="B13" i="3"/>
  <c r="D8"/>
  <c r="B8"/>
  <c r="D15"/>
  <c r="C33"/>
  <c r="C22" i="1"/>
  <c r="F29" i="2"/>
  <c r="D25"/>
  <c r="C25"/>
  <c r="P9" i="3"/>
  <c r="P10"/>
  <c r="P11"/>
  <c r="P12"/>
  <c r="P13"/>
  <c r="P14"/>
  <c r="P15"/>
  <c r="P16"/>
  <c r="P17"/>
  <c r="P18"/>
  <c r="P19"/>
  <c r="P20"/>
  <c r="P21"/>
  <c r="P22"/>
  <c r="P23"/>
  <c r="P24"/>
  <c r="P25"/>
  <c r="P26"/>
  <c r="P27"/>
  <c r="P28"/>
  <c r="P29"/>
  <c r="P30"/>
  <c r="P31"/>
  <c r="P32"/>
  <c r="P33"/>
  <c r="P34"/>
  <c r="P35"/>
  <c r="P36"/>
  <c r="P37"/>
  <c r="P38"/>
  <c r="P39"/>
  <c r="P40"/>
  <c r="P41"/>
  <c r="P42"/>
  <c r="P43"/>
  <c r="P8"/>
  <c r="N26" i="2" l="1"/>
  <c r="N35"/>
  <c r="N19" i="1" l="1"/>
  <c r="N18"/>
  <c r="N13"/>
  <c r="F32" i="2"/>
  <c r="N32" s="1"/>
  <c r="D36"/>
  <c r="N36" s="1"/>
  <c r="N27"/>
  <c r="N23" i="3" l="1"/>
  <c r="Q30" i="2"/>
  <c r="N30"/>
  <c r="N22" i="1"/>
  <c r="Q23"/>
  <c r="N23"/>
  <c r="C30" i="3"/>
  <c r="N13" i="2"/>
  <c r="N21" i="1"/>
  <c r="F16"/>
  <c r="N16"/>
  <c r="D27"/>
  <c r="F27"/>
  <c r="C27"/>
  <c r="N27" s="1"/>
  <c r="N10"/>
  <c r="N11"/>
  <c r="N14"/>
  <c r="N15"/>
  <c r="N17"/>
  <c r="N28"/>
  <c r="N29"/>
  <c r="N31"/>
  <c r="N32"/>
  <c r="N33"/>
  <c r="N9"/>
  <c r="N8"/>
  <c r="N9" i="2"/>
  <c r="N10"/>
  <c r="N11"/>
  <c r="N12"/>
  <c r="N15"/>
  <c r="N20"/>
  <c r="N21"/>
  <c r="N22"/>
  <c r="N23"/>
  <c r="N24"/>
  <c r="N25"/>
  <c r="N28"/>
  <c r="N33"/>
  <c r="N34"/>
  <c r="N37"/>
  <c r="N8"/>
  <c r="N9" i="3"/>
  <c r="N11"/>
  <c r="N12"/>
  <c r="N13"/>
  <c r="N14"/>
  <c r="N16"/>
  <c r="N17"/>
  <c r="N18"/>
  <c r="N21"/>
  <c r="N25"/>
  <c r="N26"/>
  <c r="N31"/>
  <c r="N34"/>
  <c r="N35"/>
  <c r="N37"/>
  <c r="N38"/>
  <c r="N40"/>
  <c r="N43"/>
  <c r="N29"/>
  <c r="D12" i="1"/>
  <c r="N12" s="1"/>
  <c r="F12"/>
  <c r="F31" i="2"/>
  <c r="N31" s="1"/>
  <c r="N36" i="3"/>
  <c r="D24"/>
  <c r="N24" s="1"/>
  <c r="D14" i="2"/>
  <c r="C14"/>
  <c r="N14" s="1"/>
  <c r="N29"/>
  <c r="N30" i="1"/>
  <c r="N39" i="3"/>
  <c r="D28"/>
  <c r="F28"/>
  <c r="D20" i="1"/>
  <c r="C20"/>
  <c r="N20" s="1"/>
  <c r="N33" i="3"/>
  <c r="N22"/>
  <c r="N15"/>
  <c r="B10"/>
  <c r="D10"/>
  <c r="C18" i="2"/>
  <c r="D18"/>
  <c r="N18" s="1"/>
  <c r="D17"/>
  <c r="C17"/>
  <c r="N17" s="1"/>
  <c r="N10" i="3" l="1"/>
  <c r="R23" i="1"/>
  <c r="R30" i="2"/>
  <c r="N27" i="3"/>
  <c r="N8"/>
  <c r="N41"/>
  <c r="N28"/>
  <c r="N20"/>
  <c r="D32"/>
  <c r="N32" s="1"/>
  <c r="C25" i="1"/>
  <c r="N25" s="1"/>
  <c r="N16" i="2"/>
  <c r="N19" i="3" l="1"/>
  <c r="R32"/>
  <c r="Q43" l="1"/>
  <c r="Q42"/>
  <c r="Q41"/>
  <c r="Q40"/>
  <c r="Q39"/>
  <c r="Q38"/>
  <c r="Q37"/>
  <c r="Q36"/>
  <c r="Q35"/>
  <c r="Q34"/>
  <c r="Q33"/>
  <c r="Q31"/>
  <c r="Q30"/>
  <c r="Q29"/>
  <c r="R29" s="1"/>
  <c r="Q28"/>
  <c r="Q27"/>
  <c r="Q26"/>
  <c r="Q25"/>
  <c r="Q24"/>
  <c r="Q23"/>
  <c r="Q22"/>
  <c r="Q21"/>
  <c r="Q20"/>
  <c r="Q19"/>
  <c r="Q18"/>
  <c r="Q17"/>
  <c r="Q16"/>
  <c r="Q15"/>
  <c r="Q14"/>
  <c r="Q13"/>
  <c r="Q12"/>
  <c r="Q11"/>
  <c r="Q10"/>
  <c r="Q9"/>
  <c r="Q8"/>
  <c r="Q37" i="2"/>
  <c r="Q36"/>
  <c r="R36" s="1"/>
  <c r="Q35"/>
  <c r="R35" s="1"/>
  <c r="Q34"/>
  <c r="R34" s="1"/>
  <c r="Q33"/>
  <c r="R33" s="1"/>
  <c r="Q32"/>
  <c r="R32" s="1"/>
  <c r="Q31"/>
  <c r="R31" s="1"/>
  <c r="Q29"/>
  <c r="R29" s="1"/>
  <c r="Q28"/>
  <c r="Q27"/>
  <c r="Q26"/>
  <c r="R26" s="1"/>
  <c r="Q25"/>
  <c r="Q24"/>
  <c r="Q23"/>
  <c r="Q22"/>
  <c r="Q21"/>
  <c r="Q20"/>
  <c r="Q19"/>
  <c r="Q18"/>
  <c r="Q17"/>
  <c r="Q16"/>
  <c r="R16" s="1"/>
  <c r="Q15"/>
  <c r="R15" s="1"/>
  <c r="Q14"/>
  <c r="Q13"/>
  <c r="Q12"/>
  <c r="Q11"/>
  <c r="Q10"/>
  <c r="R10" s="1"/>
  <c r="Q9"/>
  <c r="Q8"/>
  <c r="Q33" i="1"/>
  <c r="Q32"/>
  <c r="Q31"/>
  <c r="Q30"/>
  <c r="Q29"/>
  <c r="Q28"/>
  <c r="Q27"/>
  <c r="R27" s="1"/>
  <c r="Q26"/>
  <c r="Q25"/>
  <c r="R25" s="1"/>
  <c r="Q24"/>
  <c r="R24" s="1"/>
  <c r="Q22"/>
  <c r="Q21"/>
  <c r="Q20"/>
  <c r="R20" s="1"/>
  <c r="Q19"/>
  <c r="R19" s="1"/>
  <c r="Q18"/>
  <c r="Q17"/>
  <c r="Q16"/>
  <c r="R16" s="1"/>
  <c r="Q15"/>
  <c r="R15" s="1"/>
  <c r="Q14"/>
  <c r="Q13"/>
  <c r="R13" s="1"/>
  <c r="Q12"/>
  <c r="R12" s="1"/>
  <c r="Q11"/>
  <c r="Q10"/>
  <c r="Q9"/>
  <c r="Q8"/>
  <c r="R14" i="2" l="1"/>
  <c r="R17"/>
  <c r="R10" i="3"/>
  <c r="M14" i="1"/>
  <c r="R14" s="1"/>
  <c r="R18" i="2"/>
  <c r="R25"/>
  <c r="R13"/>
  <c r="R19"/>
  <c r="R20"/>
  <c r="R21"/>
  <c r="R22"/>
  <c r="R23"/>
  <c r="R24"/>
  <c r="R27"/>
  <c r="R28"/>
  <c r="R37"/>
  <c r="R9"/>
  <c r="R11"/>
  <c r="R12"/>
  <c r="R8"/>
  <c r="R21" i="1"/>
  <c r="R22"/>
  <c r="R18"/>
  <c r="R9"/>
  <c r="R10"/>
  <c r="R11"/>
  <c r="R17"/>
  <c r="R26"/>
  <c r="R28"/>
  <c r="R29"/>
  <c r="R30"/>
  <c r="R31"/>
  <c r="R32"/>
  <c r="R33"/>
  <c r="R8"/>
  <c r="R16" i="3"/>
  <c r="R17"/>
  <c r="R18"/>
  <c r="R19"/>
  <c r="R20"/>
  <c r="R21"/>
  <c r="R22"/>
  <c r="R23"/>
  <c r="R24"/>
  <c r="R25"/>
  <c r="R26"/>
  <c r="R27"/>
  <c r="R28"/>
  <c r="R30"/>
  <c r="R31"/>
  <c r="R33"/>
  <c r="R34"/>
  <c r="R35"/>
  <c r="R36"/>
  <c r="R37"/>
  <c r="R38"/>
  <c r="R39"/>
  <c r="R40"/>
  <c r="R41"/>
  <c r="R42"/>
  <c r="R43"/>
  <c r="R8"/>
  <c r="R9"/>
  <c r="R11"/>
  <c r="R12"/>
  <c r="R13"/>
  <c r="R14"/>
  <c r="R15"/>
</calcChain>
</file>

<file path=xl/sharedStrings.xml><?xml version="1.0" encoding="utf-8"?>
<sst xmlns="http://schemas.openxmlformats.org/spreadsheetml/2006/main" count="348" uniqueCount="222">
  <si>
    <t>Eastern Basin</t>
  </si>
  <si>
    <t>NOTE: All rates are given in $/1000 gallons</t>
  </si>
  <si>
    <t>"from"  and "to" columns indicate lower and upper gallon ranges applicable to Tier Rate</t>
  </si>
  <si>
    <t>NOTES</t>
  </si>
  <si>
    <t>Municipality</t>
  </si>
  <si>
    <t xml:space="preserve">    Service Charge</t>
  </si>
  <si>
    <t xml:space="preserve">             Base</t>
  </si>
  <si>
    <t>Tier 1*</t>
  </si>
  <si>
    <t>Tier 2*</t>
  </si>
  <si>
    <t xml:space="preserve">      Tier 3*</t>
  </si>
  <si>
    <t>ALCOSAN</t>
  </si>
  <si>
    <t>ALCOSAN Charge</t>
  </si>
  <si>
    <t>TOTAL</t>
  </si>
  <si>
    <t>Authority</t>
  </si>
  <si>
    <t>Monthly</t>
  </si>
  <si>
    <t>Quarterly</t>
  </si>
  <si>
    <t>Rate</t>
  </si>
  <si>
    <t>Gallons</t>
  </si>
  <si>
    <t>from</t>
  </si>
  <si>
    <t>to</t>
  </si>
  <si>
    <t>over</t>
  </si>
  <si>
    <t>Service Fee</t>
  </si>
  <si>
    <t>CUSTOMER</t>
  </si>
  <si>
    <t xml:space="preserve"> </t>
  </si>
  <si>
    <t>Flat Rate</t>
  </si>
  <si>
    <t>Residential</t>
  </si>
  <si>
    <t>Penn Township</t>
  </si>
  <si>
    <t>Pittsburgh</t>
  </si>
  <si>
    <t>Trafford</t>
  </si>
  <si>
    <t>Verona**</t>
  </si>
  <si>
    <t>NOTES:</t>
  </si>
  <si>
    <t>* Tiered rates are given for 1000 gallons</t>
  </si>
  <si>
    <t>*** For Plum Borough, rates are based on cubic feet…..these values converted to gallons for this comparison.</t>
  </si>
  <si>
    <t>Residential Rate Comparison</t>
  </si>
  <si>
    <t>Northern Basin</t>
  </si>
  <si>
    <t xml:space="preserve">       Base</t>
  </si>
  <si>
    <t>Charge/quarter</t>
  </si>
  <si>
    <t>Ben Avon**</t>
  </si>
  <si>
    <t>Sharpsburg</t>
  </si>
  <si>
    <t>* Rates are for 1000 gallons</t>
  </si>
  <si>
    <t>Southern Basin</t>
  </si>
  <si>
    <t>South Fayette</t>
  </si>
  <si>
    <t>Whitaker</t>
  </si>
  <si>
    <t>Mt. Lebanon**</t>
  </si>
  <si>
    <t>Thornburg**</t>
  </si>
  <si>
    <t>Girty's Run **</t>
  </si>
  <si>
    <t>Millvale - Girty's Run **</t>
  </si>
  <si>
    <t>West View **</t>
  </si>
  <si>
    <t>Aspinwall **</t>
  </si>
  <si>
    <t>Reserve **</t>
  </si>
  <si>
    <t>Reserve - Girtys Run Cust. **</t>
  </si>
  <si>
    <t>Emsworth **</t>
  </si>
  <si>
    <t>Avalon **</t>
  </si>
  <si>
    <t>Verona customers are ALCOSAN direct billed. No sewer surcharge by Verona.  All internal sewer system O&amp;M costs come out of taxes.</t>
  </si>
  <si>
    <t>Oakdale</t>
  </si>
  <si>
    <t>Upper St. Clair</t>
  </si>
  <si>
    <t>Brentwood</t>
  </si>
  <si>
    <t xml:space="preserve">McCandless - Residential </t>
  </si>
  <si>
    <t>Franklin Park - Lowries Run</t>
  </si>
  <si>
    <t>Franklin Park - Bear Run</t>
  </si>
  <si>
    <t>Bethel Park</t>
  </si>
  <si>
    <t>Kennedy</t>
  </si>
  <si>
    <t>Scott **</t>
  </si>
  <si>
    <t>Wall</t>
  </si>
  <si>
    <t>$6.00/thous gallon surcharge over ALCOSAN rates unchanged in 2012 per HMA management  7-19-12 phone call</t>
  </si>
  <si>
    <t>Pleasant Hills</t>
  </si>
  <si>
    <t>Carnegie</t>
  </si>
  <si>
    <t xml:space="preserve">Neville </t>
  </si>
  <si>
    <t>Dormont **</t>
  </si>
  <si>
    <t>Homestead</t>
  </si>
  <si>
    <t>Wilkins**</t>
  </si>
  <si>
    <t>Wilkinsburg**</t>
  </si>
  <si>
    <t>Wilmerding**</t>
  </si>
  <si>
    <t>Rankin**</t>
  </si>
  <si>
    <t>Forest Hills**</t>
  </si>
  <si>
    <t>East Pittsburgh**</t>
  </si>
  <si>
    <t>Braddock Hills**</t>
  </si>
  <si>
    <t>Ingram**</t>
  </si>
  <si>
    <t>Stowe**</t>
  </si>
  <si>
    <t>Crafton</t>
  </si>
  <si>
    <t>Whitehall</t>
  </si>
  <si>
    <t>McKees Rocks</t>
  </si>
  <si>
    <t>Monroeville</t>
  </si>
  <si>
    <t>Shaler**</t>
  </si>
  <si>
    <t>Shaler - Girty's Run Area**</t>
  </si>
  <si>
    <t>Green Tree</t>
  </si>
  <si>
    <t>Collier</t>
  </si>
  <si>
    <t>Bridgeville</t>
  </si>
  <si>
    <t>Ohio Twp. Sanitary Auth.</t>
  </si>
  <si>
    <t>Peters**</t>
  </si>
  <si>
    <t xml:space="preserve">Etna </t>
  </si>
  <si>
    <t>North Fayette</t>
  </si>
  <si>
    <t>Bellevue**</t>
  </si>
  <si>
    <t>West Mifflin</t>
  </si>
  <si>
    <t xml:space="preserve">Kilbuck </t>
  </si>
  <si>
    <r>
      <t xml:space="preserve">x </t>
    </r>
    <r>
      <rPr>
        <b/>
        <sz val="10"/>
        <rFont val="Calibri"/>
        <family val="2"/>
        <scheme val="minor"/>
      </rPr>
      <t>No Response to survey</t>
    </r>
  </si>
  <si>
    <t>Edgewood**</t>
  </si>
  <si>
    <t>Plum</t>
  </si>
  <si>
    <t>-</t>
  </si>
  <si>
    <t>Baldwin Township**</t>
  </si>
  <si>
    <t>Indiana - Ottawa **</t>
  </si>
  <si>
    <t>Indiana - Fairview **</t>
  </si>
  <si>
    <t>Indiana - Middle Rd. I &amp; II **</t>
  </si>
  <si>
    <t>O'Hara</t>
  </si>
  <si>
    <t>Fox Chapel**</t>
  </si>
  <si>
    <t>A $63.00 quarterly service charge is imposed to this district by on top of McCandless rates as part of merger agreement.  Will be in place until associated Franklin Park bonds are paid off in 2016.  As per 3/17/15 email A. Rocca</t>
  </si>
  <si>
    <t>A $27.00 quarterly service charge is imposed to this district by on top of McCandless rates as part of merger agreement.  Will be in place until associated Franklin Park bonds are paid off in 2016.  As per 3/17/15 email A. Rocca</t>
  </si>
  <si>
    <t>Penn Hills</t>
  </si>
  <si>
    <t>McDonald**</t>
  </si>
  <si>
    <t>Braddock**</t>
  </si>
  <si>
    <t>Ben Avon Heights**</t>
  </si>
  <si>
    <t>Pitcairn</t>
  </si>
  <si>
    <t>E-mail from H. McEachern</t>
  </si>
  <si>
    <t>Per 2/3/16 email from Joe Villela total charge is $8.25/thous plus $13 monthly service charge including all ALCOSAN charges</t>
  </si>
  <si>
    <t>Mt. Oliver**</t>
  </si>
  <si>
    <t>As pe email from Janice Adamski 2/3/16</t>
  </si>
  <si>
    <t>Baldwin Borough</t>
  </si>
  <si>
    <t>Turtle Creek**</t>
  </si>
  <si>
    <t>NET LOCAL CHARGES BELOW ARE BASED ON 13,000 GALLONS/QUARTER AFTER ALCOSAN FEES REMOVED</t>
  </si>
  <si>
    <t>13,000 gallons</t>
  </si>
  <si>
    <t>13,000 Gallons</t>
  </si>
  <si>
    <t>Email from Rich Sahar 2/25/16.  Local charge of $78.48 for the first 6 thousand gallons use, plus 6.00/KG for use greater than 6,000, including ALCOSAN fees</t>
  </si>
  <si>
    <t>Castle Shannon</t>
  </si>
  <si>
    <t>As per email from Amy 2/29/16</t>
  </si>
  <si>
    <t>Ross **</t>
  </si>
  <si>
    <t xml:space="preserve">No rate change from 2015 per Harry Dilmore email dated 3-3-16.  </t>
  </si>
  <si>
    <t xml:space="preserve"> Per 4/29/16 phone conversation with Bill Rossey, rates unchanged from 2015</t>
  </si>
  <si>
    <t>No change from 2015 per phone call with D Stecko 5/3/16</t>
  </si>
  <si>
    <t>Per Jerry Brown in 3/15/17 email S. Fayette Authority kept monthly service fee at $7.16 but raised per thousand gallon charge to $3.34.   Above rates plus all ALCOSAN charges.</t>
  </si>
  <si>
    <r>
      <t xml:space="preserve">** No change in </t>
    </r>
    <r>
      <rPr>
        <b/>
        <sz val="11"/>
        <rFont val="Calibri"/>
        <family val="2"/>
        <scheme val="minor"/>
      </rPr>
      <t>effective</t>
    </r>
    <r>
      <rPr>
        <sz val="11"/>
        <rFont val="Calibri"/>
        <family val="2"/>
        <scheme val="minor"/>
      </rPr>
      <t xml:space="preserve"> local rates from 2016 survey</t>
    </r>
  </si>
  <si>
    <t>From 3/16/17 email from R. Hopkinson  No rate change for 2016.  Remains $7.12/thousand plus all ALCOSAN charges.</t>
  </si>
  <si>
    <t>Residential rate is $6.90/thous plus $21.25 quarterly service fee including all ALCOSAN charges .  Per email 3/16/17</t>
  </si>
  <si>
    <t>Info from email from Julie Bastianini 3/15/17; No change from 2016</t>
  </si>
  <si>
    <t>No change from 2016. Email from Teresa Windstein 3/15/17</t>
  </si>
  <si>
    <t>As per email from Rebecca Bradleyv3/15/17; $2.50/kg plus ALCOSAN</t>
  </si>
  <si>
    <t>Email from Ann Scott, 3/15/17. $8.40/kg &amp; $2.25 sewer fee per bill</t>
  </si>
  <si>
    <t>Base rate of $56.52 plus $8.74/kg includes ALCOSAN: 3/15/17 email from LuAnn Barna</t>
  </si>
  <si>
    <t>Per email from Annette Dietz 3/15/17. Rate for 2016 $2.50 s.c; $3.50/KG; plus ALCOSAN fees.</t>
  </si>
  <si>
    <t xml:space="preserve">Robinson </t>
  </si>
  <si>
    <t>Per email from Carolyn Hoffman, 3/15/17</t>
  </si>
  <si>
    <r>
      <t xml:space="preserve">** No change in </t>
    </r>
    <r>
      <rPr>
        <b/>
        <sz val="11"/>
        <rFont val="Arial"/>
        <family val="2"/>
      </rPr>
      <t xml:space="preserve">effective </t>
    </r>
    <r>
      <rPr>
        <sz val="11"/>
        <rFont val="Arial"/>
        <family val="2"/>
      </rPr>
      <t xml:space="preserve">local rates </t>
    </r>
    <r>
      <rPr>
        <sz val="11"/>
        <rFont val="Calibri"/>
        <family val="2"/>
        <scheme val="minor"/>
      </rPr>
      <t>from 2016 suvey</t>
    </r>
  </si>
  <si>
    <t>As per email from Amy Rockwell 3/15/17</t>
  </si>
  <si>
    <t>As per email from Lori Thompson 3/15/17</t>
  </si>
  <si>
    <t>No change from 2012. Email from Ann Moss 3/15/17</t>
  </si>
  <si>
    <t>$11.52/kg plus $6.75 monthly fee; includes ALCOSAN fees. Email from John Barrett 3/15/17</t>
  </si>
  <si>
    <t>As per email from Gary Koehler, 3/15/17</t>
  </si>
  <si>
    <t>Email from Cathy Bubas 3/15/17</t>
  </si>
  <si>
    <t>Per Jordan Tax 3/15/17; $13.52/kg plus $4.84/m scv charge.  Includes ALCOSAN fees</t>
  </si>
  <si>
    <t>North Huntingdon**</t>
  </si>
  <si>
    <t>3/15/17 Email from Mike Branthoover. No change from 2016</t>
  </si>
  <si>
    <t>As per email from Steve Morus 3/15/17; no change</t>
  </si>
  <si>
    <t xml:space="preserve">Billed by WPWJWA.  Per email from Eileen Navish 3/15/17, East Pittsburgh local ratesiare 50% of ALCOSAN charges. </t>
  </si>
  <si>
    <t>Email 3/15/17 from Gerald Orsini.  Total charge per thous galls including ALCOSAN charges is $8.00.</t>
  </si>
  <si>
    <t xml:space="preserve">Per 3/15/17 email from Tracy Miller,  Wall charges a $113.42 for the first 10,000 gallons of use that includes all ALCOSAN charges and also includes a $15.00 local consent order charge.  For water consumption above 10,000 gallons per quarter, the additional charge is $1.50/thousand consent order charge plus $7.03/KG including ALCOSAN's $5.61/KG charge; plus $12.39 service change. </t>
  </si>
  <si>
    <t>As per email from Howard Theis, 3/15/17. Rates based on "cu. ft.";  Includes ALCOSAN fees</t>
  </si>
  <si>
    <t>3/15/17  email from Mindy Henze $0.808/cg &lt;15KG &amp; $1.274/cg &gt;15KG</t>
  </si>
  <si>
    <t>Email from Denise Assenti 3/15/17.  Monthly service charge of $15.20 plus $8.29 per thous gallons plus all ALCOSAN charges</t>
  </si>
  <si>
    <t>Blawnox **</t>
  </si>
  <si>
    <t>Per 3/15/17 email from Kathy Ulanowicz, rates have not changed for 2017</t>
  </si>
  <si>
    <t>Heidelberg</t>
  </si>
  <si>
    <t>Per phone conversation with Harry  3/16/17; Scvs $5.48/mo; $8.62/KG; plus ALCOSAN fees</t>
  </si>
  <si>
    <t>No change in 2017 effective local rate of $1.73/thous plus ALCOSAN fees  Billed by ALCOSAN</t>
  </si>
  <si>
    <t>3/16/17 Email fromKathy Taschner. $5.35/KG +$2.00 quarterly scvs charge; plus ALCOSAN fees</t>
  </si>
  <si>
    <t>North Versailles</t>
  </si>
  <si>
    <t>3/16/17 email from Sami. No change from 2016</t>
  </si>
  <si>
    <t>Email from Donna Kaib 3/16/17.   $8.76/kg plus $14.52/qt s/c. $88.36/4kg/qt. ALCOSAN fees included</t>
  </si>
  <si>
    <t>Email from Donna Kaib 3/16/17.   $8.76/kg +  $3.50 plus $14.52/qt s/c. $99.36/4kg/qt. ALCOSAN fees included</t>
  </si>
  <si>
    <t>Per 3/16/17 email from J. Kording: scvs $6.23 bi-mothly &amp; $2/KG</t>
  </si>
  <si>
    <t>Per 3/16/17 email from J. Kording: scvs $8.50 bi-mothly &amp; $2.50/KG</t>
  </si>
  <si>
    <t>3/19/17 Email from Matt Bovee, $16.00/Mo. Scvs cgharge &amp; $11.50/KG.  Includes ALCOSAN fees</t>
  </si>
  <si>
    <t xml:space="preserve">Munhall </t>
  </si>
  <si>
    <t>Per email from Denise Raves 3/19/17 no change from 2016</t>
  </si>
  <si>
    <t>3/20/17 email from Matt Staniszewski.   Sewer rates for single family home = $9.79/KG;Multi-family home= $10.64/KG;Others= $11.89/KG , $8.34/mo service fee including ALCOSAN.</t>
  </si>
  <si>
    <t>Multiplier set at 2.15 times ALCOSAN rates….service charge $5.57 &amp; $7.95/KG Email from Mark Rimito3/17/17</t>
  </si>
  <si>
    <t>As per email from Candy Wygonil 3/17/17</t>
  </si>
  <si>
    <t>As per email from Candy Wygonil 3/17/18</t>
  </si>
  <si>
    <t>As per email from Joe Hartzell, 3/17/17  rates remain the same as 2016 plus ALCOSAN increase.</t>
  </si>
  <si>
    <t>Churchill</t>
  </si>
  <si>
    <t>3/17/17 email from Donna Perry: $6.00/KG plus ALCOSAN fees</t>
  </si>
  <si>
    <t>Email from Annie McElfresh 3/20/17. $85.80/3KG; $8.34/KG over 3KG. Includes ALCSAN fees</t>
  </si>
  <si>
    <t>As per email from Candy Wygonil 3/20/17</t>
  </si>
  <si>
    <t>Indiana - Middle Rd. Ext.</t>
  </si>
  <si>
    <t xml:space="preserve">Per Gloria Stroop 3/21/17  email </t>
  </si>
  <si>
    <t xml:space="preserve">Rate information from Kelly Rohbek on 3/22/17;  Oakdale 2015 rates including all ALCOSAN charges consist of a $24.45 monthly fee for the first 1,000 gallons, then $11.65 per thousand. </t>
  </si>
  <si>
    <t>Email from Doug Marguriet 3/21/17.  No change from 2016</t>
  </si>
  <si>
    <t>North Braddock**</t>
  </si>
  <si>
    <t>As per email fromSue Brown 3/24/17. Billing is bi-monthly: $15.50 S.C/billing; $3.50/KG. Does not include ALCOSAN fees</t>
  </si>
  <si>
    <t>Direct Bill by ALCOSAN…3/24/17 email from Dorothy Falk</t>
  </si>
  <si>
    <t>As per email from Lori Collins 3/29/17</t>
  </si>
  <si>
    <t>East McKeesport**</t>
  </si>
  <si>
    <t>Per 4/7/17 email from Connie Rosenbayger. No change from 2016+</t>
  </si>
  <si>
    <t>Per Patti Mowry email 4/7/17.  No change from 2016</t>
  </si>
  <si>
    <t>Per 4/7/17 email from Vincent Yevins. $4.01/mg plus ALCOSAN fees.`</t>
  </si>
  <si>
    <t xml:space="preserve">No rate change from 2015 per Lorraine Makatura email dated 4/7/17.  </t>
  </si>
  <si>
    <t>No change from 2016 Per 4/7/17email from Sandy Novelli</t>
  </si>
  <si>
    <t xml:space="preserve">Per email from Marla Stevens, 4/7/17. ALCOSAN provides minimal service, they have their own treatment plant </t>
  </si>
  <si>
    <t>As per 4/7/17 e-mail from Annie McElfresh - $13.54/kg and qrtly service charge of $15.00.  Includes ALCOSAN rates</t>
  </si>
  <si>
    <t>Per Doug Sample email on 4/10/17, no change from 2016</t>
  </si>
  <si>
    <t>As email on 4/10/17 from Rob Zahorchak Baldwin Twp's 2016 rate remain unchanged.</t>
  </si>
  <si>
    <t>Per 4/10/17 email from Jean Warren, $11.89 for first 4,500; $2.5/KG thereafter plus ALCOSAN fees</t>
  </si>
  <si>
    <t>As per email from Tom Hartswick 4/10/17</t>
  </si>
  <si>
    <t>As per email from Julie Pantalone 4/11/17</t>
  </si>
  <si>
    <t>As per email from Michele George,4/10/17</t>
  </si>
  <si>
    <t>Email 4/12/17 from Lauren Novakpvic. Adds 50% of ALCOSAN's fees as a surcharge</t>
  </si>
  <si>
    <t>Per email fromBen Estell 4/12/17 No change from 2016 rates other than ALCOSAN</t>
  </si>
  <si>
    <t>Direct Bill by ALCOSAN; No local mark-up per Ken Opipery emial 4/17/17</t>
  </si>
  <si>
    <t>West Homestead</t>
  </si>
  <si>
    <t>As per email from Donna McMichael 4/20/17</t>
  </si>
  <si>
    <t>Chalfant**</t>
  </si>
  <si>
    <t>No change from 2016. Email from Cheryl Sorrentino Borough Secretary 4/7/17</t>
  </si>
  <si>
    <t>Per Bob Grimm email 5/1/17; no change from 2016</t>
  </si>
  <si>
    <t>As per email from Ruth Pompey, 5/1/17: no change from 2016</t>
  </si>
  <si>
    <t>Per email 5/1/17 from TANYA Gore-White</t>
  </si>
  <si>
    <t>No change from 2016. Email from Michele Garvey 5/1/17</t>
  </si>
  <si>
    <t>No change from 2016 Per Marie Incovati email 5/1/17</t>
  </si>
  <si>
    <t xml:space="preserve">Swissvale </t>
  </si>
  <si>
    <t>5/2/17 Per phone call; $3.50/kg plus ALCOSAN fees</t>
  </si>
  <si>
    <t>Email from K. Schwoegl, 5/2/17. No change from 2016</t>
  </si>
  <si>
    <t>No change from 2016 except for ALCOSAN increases. 5/3/17 email from DR Henderson</t>
  </si>
  <si>
    <r>
      <t xml:space="preserve">ALCOSAN rates in 2017 include a </t>
    </r>
    <r>
      <rPr>
        <b/>
        <sz val="11"/>
        <rFont val="Calibri"/>
        <family val="2"/>
        <scheme val="minor"/>
      </rPr>
      <t>$14.51</t>
    </r>
    <r>
      <rPr>
        <sz val="11"/>
        <rFont val="Calibri"/>
        <family val="2"/>
        <scheme val="minor"/>
      </rPr>
      <t xml:space="preserve"> quarterly service charge plus $6.91 per thousand gallons of water consumption</t>
    </r>
  </si>
  <si>
    <t>As per email from Shane Lanham, no change from 2016</t>
  </si>
  <si>
    <r>
      <t xml:space="preserve">Rosslyn Farms </t>
    </r>
    <r>
      <rPr>
        <b/>
        <vertAlign val="superscript"/>
        <sz val="11"/>
        <rFont val="Calibri"/>
        <family val="2"/>
        <scheme val="minor"/>
      </rPr>
      <t>x</t>
    </r>
  </si>
</sst>
</file>

<file path=xl/styles.xml><?xml version="1.0" encoding="utf-8"?>
<styleSheet xmlns="http://schemas.openxmlformats.org/spreadsheetml/2006/main">
  <numFmts count="3">
    <numFmt numFmtId="164" formatCode="&quot;$&quot;#,##0.00"/>
    <numFmt numFmtId="165" formatCode="&quot;$&quot;#,##0.000"/>
    <numFmt numFmtId="166" formatCode="0.0%"/>
  </numFmts>
  <fonts count="10">
    <font>
      <sz val="11"/>
      <color theme="1"/>
      <name val="Calibri"/>
      <family val="2"/>
      <scheme val="minor"/>
    </font>
    <font>
      <b/>
      <sz val="10"/>
      <name val="Calibri"/>
      <family val="2"/>
      <scheme val="minor"/>
    </font>
    <font>
      <sz val="10"/>
      <name val="Calibri"/>
      <family val="2"/>
      <scheme val="minor"/>
    </font>
    <font>
      <b/>
      <sz val="11"/>
      <name val="Arial"/>
      <family val="2"/>
    </font>
    <font>
      <sz val="11"/>
      <name val="Arial"/>
      <family val="2"/>
    </font>
    <font>
      <sz val="11"/>
      <name val="Calibri"/>
      <family val="2"/>
      <scheme val="minor"/>
    </font>
    <font>
      <b/>
      <sz val="11"/>
      <name val="Calibri"/>
      <family val="2"/>
      <scheme val="minor"/>
    </font>
    <font>
      <b/>
      <vertAlign val="superscript"/>
      <sz val="10"/>
      <name val="Calibri"/>
      <family val="2"/>
      <scheme val="minor"/>
    </font>
    <font>
      <b/>
      <vertAlign val="superscript"/>
      <sz val="11"/>
      <name val="Calibri"/>
      <family val="2"/>
      <scheme val="minor"/>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4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s>
  <cellStyleXfs count="1">
    <xf numFmtId="0" fontId="0" fillId="0" borderId="0"/>
  </cellStyleXfs>
  <cellXfs count="162">
    <xf numFmtId="0" fontId="0" fillId="0" borderId="0" xfId="0"/>
    <xf numFmtId="0" fontId="1" fillId="0" borderId="0" xfId="0" applyFont="1" applyFill="1"/>
    <xf numFmtId="0" fontId="1" fillId="0" borderId="0" xfId="0" applyFont="1"/>
    <xf numFmtId="0" fontId="2" fillId="0" borderId="1" xfId="0" applyFont="1" applyFill="1" applyBorder="1" applyAlignment="1">
      <alignment horizontal="center"/>
    </xf>
    <xf numFmtId="0" fontId="2" fillId="0" borderId="0" xfId="0" applyFont="1" applyAlignment="1">
      <alignment horizontal="center" wrapText="1"/>
    </xf>
    <xf numFmtId="0" fontId="2" fillId="0" borderId="9" xfId="0" applyFont="1" applyBorder="1" applyAlignment="1">
      <alignment horizontal="center"/>
    </xf>
    <xf numFmtId="0" fontId="2" fillId="0" borderId="0" xfId="0" applyFont="1" applyFill="1" applyAlignment="1">
      <alignment horizontal="left" wrapText="1"/>
    </xf>
    <xf numFmtId="0" fontId="2" fillId="0" borderId="0" xfId="0" applyFont="1" applyFill="1" applyBorder="1"/>
    <xf numFmtId="0" fontId="2" fillId="0" borderId="0" xfId="0" applyFont="1" applyFill="1"/>
    <xf numFmtId="0" fontId="2" fillId="0" borderId="0" xfId="0" applyFont="1" applyAlignment="1">
      <alignment horizontal="left" wrapText="1"/>
    </xf>
    <xf numFmtId="0" fontId="2" fillId="0" borderId="9" xfId="0" applyFont="1" applyFill="1" applyBorder="1" applyAlignment="1">
      <alignment horizontal="center"/>
    </xf>
    <xf numFmtId="0" fontId="1" fillId="0" borderId="0" xfId="0" applyFont="1" applyBorder="1"/>
    <xf numFmtId="0" fontId="3" fillId="0" borderId="0" xfId="0" applyFont="1"/>
    <xf numFmtId="0" fontId="3" fillId="0" borderId="0" xfId="0" applyFont="1" applyFill="1"/>
    <xf numFmtId="0" fontId="4" fillId="0" borderId="0" xfId="0" applyFont="1" applyFill="1" applyBorder="1"/>
    <xf numFmtId="0" fontId="5" fillId="0" borderId="0" xfId="0" applyFont="1"/>
    <xf numFmtId="0" fontId="5" fillId="0" borderId="0" xfId="0" applyFont="1" applyFill="1"/>
    <xf numFmtId="0" fontId="5" fillId="0" borderId="0" xfId="0" applyFont="1" applyAlignment="1">
      <alignment wrapText="1"/>
    </xf>
    <xf numFmtId="0" fontId="5" fillId="0" borderId="1" xfId="0" applyFont="1" applyBorder="1" applyAlignment="1">
      <alignment horizontal="center"/>
    </xf>
    <xf numFmtId="0" fontId="5" fillId="0" borderId="2" xfId="0" applyFont="1" applyBorder="1"/>
    <xf numFmtId="0" fontId="5" fillId="0" borderId="3" xfId="0" applyFont="1" applyBorder="1"/>
    <xf numFmtId="0" fontId="5" fillId="0" borderId="4" xfId="0" applyFont="1" applyBorder="1" applyAlignment="1">
      <alignment horizontal="center"/>
    </xf>
    <xf numFmtId="0" fontId="5" fillId="0" borderId="5" xfId="0" applyFont="1" applyBorder="1"/>
    <xf numFmtId="0" fontId="5" fillId="0" borderId="6" xfId="0" applyFont="1" applyBorder="1" applyAlignment="1">
      <alignment horizontal="center"/>
    </xf>
    <xf numFmtId="0" fontId="5" fillId="0" borderId="7"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35" xfId="0" applyFont="1" applyBorder="1" applyAlignment="1">
      <alignment horizontal="center"/>
    </xf>
    <xf numFmtId="164" fontId="5" fillId="0" borderId="0" xfId="0" applyNumberFormat="1" applyFont="1"/>
    <xf numFmtId="0" fontId="7" fillId="0" borderId="0" xfId="0" applyFont="1" applyFill="1"/>
    <xf numFmtId="49" fontId="5" fillId="0" borderId="0" xfId="0" applyNumberFormat="1" applyFont="1" applyAlignment="1">
      <alignment vertical="top" wrapText="1"/>
    </xf>
    <xf numFmtId="0" fontId="5" fillId="0" borderId="1" xfId="0" applyFont="1" applyFill="1" applyBorder="1" applyAlignment="1">
      <alignment horizontal="center"/>
    </xf>
    <xf numFmtId="0" fontId="5" fillId="0" borderId="2" xfId="0" applyFont="1" applyFill="1" applyBorder="1"/>
    <xf numFmtId="0" fontId="5" fillId="0" borderId="3" xfId="0" applyFont="1" applyFill="1" applyBorder="1"/>
    <xf numFmtId="0" fontId="5" fillId="0" borderId="4" xfId="0" applyFont="1" applyFill="1" applyBorder="1" applyAlignment="1">
      <alignment horizontal="center"/>
    </xf>
    <xf numFmtId="0" fontId="5" fillId="0" borderId="5" xfId="0" applyFont="1" applyFill="1" applyBorder="1"/>
    <xf numFmtId="0" fontId="5" fillId="0" borderId="6" xfId="0" applyFont="1" applyFill="1" applyBorder="1" applyAlignment="1">
      <alignment horizontal="center"/>
    </xf>
    <xf numFmtId="0" fontId="5" fillId="0" borderId="7" xfId="0" applyFont="1" applyFill="1" applyBorder="1"/>
    <xf numFmtId="0" fontId="5" fillId="0" borderId="7" xfId="0" applyFont="1" applyFill="1" applyBorder="1" applyAlignment="1">
      <alignment horizontal="center"/>
    </xf>
    <xf numFmtId="0" fontId="5" fillId="0" borderId="8" xfId="0" applyFont="1" applyFill="1" applyBorder="1" applyAlignment="1">
      <alignment horizontal="center"/>
    </xf>
    <xf numFmtId="49" fontId="5" fillId="0" borderId="0" xfId="0" applyNumberFormat="1" applyFont="1" applyFill="1" applyAlignment="1">
      <alignment vertical="top" wrapText="1"/>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35" xfId="0" applyFont="1" applyFill="1" applyBorder="1" applyAlignment="1">
      <alignment horizontal="center"/>
    </xf>
    <xf numFmtId="0" fontId="5" fillId="0" borderId="0" xfId="0" applyFont="1" applyFill="1" applyAlignment="1">
      <alignment horizontal="center" wrapText="1"/>
    </xf>
    <xf numFmtId="0" fontId="5" fillId="0" borderId="34" xfId="0" applyFont="1" applyBorder="1"/>
    <xf numFmtId="0" fontId="5" fillId="0" borderId="34" xfId="0" applyFont="1" applyFill="1" applyBorder="1"/>
    <xf numFmtId="0" fontId="5" fillId="0" borderId="0" xfId="0" applyFont="1" applyFill="1" applyBorder="1"/>
    <xf numFmtId="0" fontId="5" fillId="0" borderId="0" xfId="0" applyFont="1" applyBorder="1"/>
    <xf numFmtId="164" fontId="2" fillId="3" borderId="18" xfId="0" applyNumberFormat="1" applyFont="1" applyFill="1" applyBorder="1" applyAlignment="1">
      <alignment horizontal="center"/>
    </xf>
    <xf numFmtId="0" fontId="5" fillId="3" borderId="30" xfId="0" applyFont="1" applyFill="1" applyBorder="1"/>
    <xf numFmtId="164" fontId="2" fillId="3" borderId="31" xfId="0" applyNumberFormat="1" applyFont="1" applyFill="1" applyBorder="1" applyAlignment="1">
      <alignment horizontal="center"/>
    </xf>
    <xf numFmtId="164" fontId="2" fillId="3" borderId="32" xfId="0" applyNumberFormat="1" applyFont="1" applyFill="1" applyBorder="1" applyAlignment="1">
      <alignment horizontal="center"/>
    </xf>
    <xf numFmtId="164" fontId="2" fillId="3" borderId="30" xfId="0" applyNumberFormat="1" applyFont="1" applyFill="1" applyBorder="1" applyAlignment="1">
      <alignment horizont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3" xfId="0" applyFont="1" applyFill="1" applyBorder="1" applyAlignment="1">
      <alignment horizontal="center"/>
    </xf>
    <xf numFmtId="0" fontId="2" fillId="3" borderId="32" xfId="0" applyFont="1" applyFill="1" applyBorder="1" applyAlignment="1">
      <alignment horizontal="center"/>
    </xf>
    <xf numFmtId="0" fontId="5" fillId="0" borderId="8" xfId="0" applyFont="1" applyFill="1" applyBorder="1" applyAlignment="1">
      <alignment horizontal="center" wrapText="1"/>
    </xf>
    <xf numFmtId="0" fontId="5" fillId="0" borderId="9" xfId="0" applyFont="1" applyFill="1" applyBorder="1" applyAlignment="1">
      <alignment horizontal="center" wrapText="1"/>
    </xf>
    <xf numFmtId="1" fontId="2" fillId="0" borderId="11" xfId="0" applyNumberFormat="1" applyFont="1" applyFill="1" applyBorder="1" applyAlignment="1">
      <alignment horizontal="center"/>
    </xf>
    <xf numFmtId="0" fontId="5" fillId="0" borderId="0" xfId="0" applyFont="1" applyFill="1" applyAlignment="1">
      <alignment horizontal="center" vertical="top" wrapText="1"/>
    </xf>
    <xf numFmtId="3" fontId="2" fillId="0" borderId="36" xfId="0" applyNumberFormat="1" applyFont="1" applyFill="1" applyBorder="1" applyAlignment="1">
      <alignment horizontal="center"/>
    </xf>
    <xf numFmtId="164" fontId="2" fillId="0" borderId="18" xfId="0" applyNumberFormat="1" applyFont="1" applyFill="1" applyBorder="1" applyAlignment="1">
      <alignment horizontal="center"/>
    </xf>
    <xf numFmtId="0" fontId="5" fillId="0" borderId="18" xfId="0" applyFont="1" applyFill="1" applyBorder="1"/>
    <xf numFmtId="164" fontId="2" fillId="0" borderId="22" xfId="0" applyNumberFormat="1" applyFont="1" applyFill="1" applyBorder="1" applyAlignment="1">
      <alignment horizontal="center"/>
    </xf>
    <xf numFmtId="164" fontId="2" fillId="0" borderId="23" xfId="0" applyNumberFormat="1" applyFont="1" applyFill="1" applyBorder="1" applyAlignment="1">
      <alignment horizontal="center"/>
    </xf>
    <xf numFmtId="164" fontId="2" fillId="0" borderId="14" xfId="0" applyNumberFormat="1" applyFont="1" applyFill="1" applyBorder="1" applyAlignment="1">
      <alignment horizontal="center"/>
    </xf>
    <xf numFmtId="1" fontId="2" fillId="0" borderId="24" xfId="0" applyNumberFormat="1" applyFont="1" applyFill="1" applyBorder="1" applyAlignment="1">
      <alignment horizontal="center"/>
    </xf>
    <xf numFmtId="1" fontId="2" fillId="0" borderId="23" xfId="0" applyNumberFormat="1" applyFont="1" applyFill="1" applyBorder="1" applyAlignment="1">
      <alignment horizontal="center"/>
    </xf>
    <xf numFmtId="4" fontId="2" fillId="0" borderId="22" xfId="0" applyNumberFormat="1" applyFont="1" applyFill="1" applyBorder="1" applyAlignment="1">
      <alignment horizontal="center"/>
    </xf>
    <xf numFmtId="1" fontId="2" fillId="0" borderId="38" xfId="0" applyNumberFormat="1" applyFont="1" applyFill="1" applyBorder="1" applyAlignment="1">
      <alignment horizontal="center"/>
    </xf>
    <xf numFmtId="1" fontId="2" fillId="0" borderId="14" xfId="0" applyNumberFormat="1" applyFont="1" applyFill="1" applyBorder="1" applyAlignment="1">
      <alignment horizontal="center"/>
    </xf>
    <xf numFmtId="0" fontId="2" fillId="0" borderId="24" xfId="0" applyFont="1" applyFill="1" applyBorder="1" applyAlignment="1">
      <alignment horizontal="center"/>
    </xf>
    <xf numFmtId="0" fontId="2" fillId="0" borderId="14" xfId="0" applyFont="1" applyFill="1" applyBorder="1" applyAlignment="1">
      <alignment horizontal="center"/>
    </xf>
    <xf numFmtId="0" fontId="2" fillId="0" borderId="22" xfId="0" applyFont="1" applyFill="1" applyBorder="1" applyAlignment="1">
      <alignment horizontal="center"/>
    </xf>
    <xf numFmtId="164" fontId="4" fillId="0" borderId="18" xfId="0" applyNumberFormat="1" applyFont="1" applyFill="1" applyBorder="1" applyAlignment="1">
      <alignment horizontal="center"/>
    </xf>
    <xf numFmtId="0" fontId="4" fillId="0" borderId="0" xfId="0" applyFont="1" applyFill="1" applyAlignment="1">
      <alignment horizontal="left" vertical="top" wrapText="1"/>
    </xf>
    <xf numFmtId="0" fontId="5" fillId="0" borderId="0" xfId="0" applyFont="1" applyFill="1" applyAlignment="1">
      <alignment horizontal="left" wrapText="1"/>
    </xf>
    <xf numFmtId="164" fontId="4" fillId="0" borderId="22" xfId="0" applyNumberFormat="1" applyFont="1" applyFill="1" applyBorder="1" applyAlignment="1">
      <alignment horizontal="center"/>
    </xf>
    <xf numFmtId="164" fontId="4" fillId="0" borderId="23" xfId="0" applyNumberFormat="1" applyFont="1" applyFill="1" applyBorder="1" applyAlignment="1">
      <alignment horizontal="center"/>
    </xf>
    <xf numFmtId="164" fontId="4" fillId="0" borderId="14" xfId="0" applyNumberFormat="1" applyFont="1" applyFill="1" applyBorder="1" applyAlignment="1">
      <alignment horizontal="center"/>
    </xf>
    <xf numFmtId="1" fontId="4" fillId="0" borderId="18" xfId="0" applyNumberFormat="1" applyFont="1" applyFill="1" applyBorder="1" applyAlignment="1">
      <alignment horizontal="center"/>
    </xf>
    <xf numFmtId="0" fontId="4" fillId="0" borderId="0" xfId="0" applyFont="1" applyFill="1" applyAlignment="1">
      <alignment horizontal="left" wrapText="1"/>
    </xf>
    <xf numFmtId="0" fontId="4" fillId="0" borderId="18" xfId="0" applyFont="1" applyFill="1" applyBorder="1"/>
    <xf numFmtId="0" fontId="4" fillId="0" borderId="24" xfId="0" applyFont="1" applyFill="1" applyBorder="1" applyAlignment="1">
      <alignment horizontal="center"/>
    </xf>
    <xf numFmtId="0" fontId="4" fillId="0" borderId="14" xfId="0" applyFont="1" applyFill="1" applyBorder="1" applyAlignment="1">
      <alignment horizontal="center"/>
    </xf>
    <xf numFmtId="0" fontId="4" fillId="0" borderId="22" xfId="0" applyFont="1" applyFill="1" applyBorder="1" applyAlignment="1">
      <alignment horizontal="center"/>
    </xf>
    <xf numFmtId="3" fontId="2" fillId="0" borderId="18" xfId="0" applyNumberFormat="1" applyFont="1" applyFill="1" applyBorder="1" applyAlignment="1">
      <alignment horizontal="center"/>
    </xf>
    <xf numFmtId="164" fontId="2" fillId="0" borderId="18" xfId="0" applyNumberFormat="1" applyFont="1" applyBorder="1" applyAlignment="1">
      <alignment horizontal="center"/>
    </xf>
    <xf numFmtId="164" fontId="4" fillId="0" borderId="16" xfId="0" applyNumberFormat="1" applyFont="1" applyFill="1" applyBorder="1" applyAlignment="1">
      <alignment horizontal="center"/>
    </xf>
    <xf numFmtId="164" fontId="4" fillId="0" borderId="17" xfId="0" applyNumberFormat="1" applyFont="1" applyFill="1" applyBorder="1" applyAlignment="1">
      <alignment horizontal="center"/>
    </xf>
    <xf numFmtId="164" fontId="4" fillId="0" borderId="4" xfId="0" applyNumberFormat="1" applyFont="1" applyFill="1" applyBorder="1" applyAlignment="1">
      <alignment horizontal="center"/>
    </xf>
    <xf numFmtId="1" fontId="4" fillId="0" borderId="36" xfId="0" applyNumberFormat="1" applyFont="1" applyFill="1" applyBorder="1" applyAlignment="1">
      <alignment horizontal="center"/>
    </xf>
    <xf numFmtId="164" fontId="4" fillId="0" borderId="19" xfId="0" applyNumberFormat="1" applyFont="1" applyFill="1" applyBorder="1" applyAlignment="1">
      <alignment horizontal="center"/>
    </xf>
    <xf numFmtId="1" fontId="4" fillId="0" borderId="20" xfId="0" applyNumberFormat="1" applyFont="1" applyFill="1" applyBorder="1" applyAlignment="1">
      <alignment horizontal="center"/>
    </xf>
    <xf numFmtId="1" fontId="4" fillId="0" borderId="21" xfId="0" applyNumberFormat="1" applyFont="1" applyFill="1" applyBorder="1" applyAlignment="1">
      <alignment horizontal="center"/>
    </xf>
    <xf numFmtId="1" fontId="4" fillId="0" borderId="37" xfId="0" applyNumberFormat="1" applyFont="1" applyFill="1" applyBorder="1" applyAlignment="1">
      <alignment horizontal="center"/>
    </xf>
    <xf numFmtId="1" fontId="4" fillId="0" borderId="24" xfId="0" applyNumberFormat="1" applyFont="1" applyFill="1" applyBorder="1" applyAlignment="1">
      <alignment horizontal="center"/>
    </xf>
    <xf numFmtId="1" fontId="4" fillId="0" borderId="23" xfId="0" applyNumberFormat="1" applyFont="1" applyFill="1" applyBorder="1" applyAlignment="1">
      <alignment horizontal="center"/>
    </xf>
    <xf numFmtId="4" fontId="4" fillId="0" borderId="22" xfId="0" applyNumberFormat="1" applyFont="1" applyFill="1" applyBorder="1" applyAlignment="1">
      <alignment horizontal="center"/>
    </xf>
    <xf numFmtId="1" fontId="4" fillId="0" borderId="38" xfId="0" applyNumberFormat="1" applyFont="1" applyFill="1" applyBorder="1" applyAlignment="1">
      <alignment horizontal="center"/>
    </xf>
    <xf numFmtId="3" fontId="4" fillId="0" borderId="24" xfId="0" applyNumberFormat="1" applyFont="1" applyFill="1" applyBorder="1" applyAlignment="1">
      <alignment horizontal="center"/>
    </xf>
    <xf numFmtId="3" fontId="4" fillId="0" borderId="23" xfId="0" applyNumberFormat="1" applyFont="1" applyFill="1" applyBorder="1" applyAlignment="1">
      <alignment horizontal="center"/>
    </xf>
    <xf numFmtId="3" fontId="4" fillId="0" borderId="38" xfId="0" applyNumberFormat="1" applyFont="1" applyFill="1" applyBorder="1" applyAlignment="1">
      <alignment horizontal="center"/>
    </xf>
    <xf numFmtId="164" fontId="4" fillId="0" borderId="25" xfId="0" applyNumberFormat="1" applyFont="1" applyFill="1" applyBorder="1" applyAlignment="1">
      <alignment horizontal="center"/>
    </xf>
    <xf numFmtId="164" fontId="4" fillId="0" borderId="26" xfId="0" applyNumberFormat="1" applyFont="1" applyFill="1" applyBorder="1" applyAlignment="1">
      <alignment horizontal="center"/>
    </xf>
    <xf numFmtId="164" fontId="4" fillId="0" borderId="27" xfId="0" applyNumberFormat="1" applyFont="1" applyFill="1" applyBorder="1" applyAlignment="1">
      <alignment horizontal="center"/>
    </xf>
    <xf numFmtId="1" fontId="4" fillId="0" borderId="28" xfId="0" applyNumberFormat="1" applyFont="1" applyFill="1" applyBorder="1" applyAlignment="1">
      <alignment horizontal="center"/>
    </xf>
    <xf numFmtId="1" fontId="4" fillId="0" borderId="29" xfId="0" applyNumberFormat="1" applyFont="1" applyFill="1" applyBorder="1" applyAlignment="1">
      <alignment horizontal="center"/>
    </xf>
    <xf numFmtId="1" fontId="4" fillId="0" borderId="26" xfId="0" applyNumberFormat="1" applyFont="1" applyFill="1" applyBorder="1" applyAlignment="1">
      <alignment horizontal="center"/>
    </xf>
    <xf numFmtId="4" fontId="4" fillId="0" borderId="25" xfId="0" applyNumberFormat="1" applyFont="1" applyFill="1" applyBorder="1" applyAlignment="1">
      <alignment horizontal="center"/>
    </xf>
    <xf numFmtId="1" fontId="4" fillId="0" borderId="39" xfId="0" applyNumberFormat="1" applyFont="1" applyFill="1" applyBorder="1" applyAlignment="1">
      <alignment horizontal="center"/>
    </xf>
    <xf numFmtId="1" fontId="4" fillId="0" borderId="14" xfId="0" applyNumberFormat="1" applyFont="1" applyFill="1" applyBorder="1" applyAlignment="1">
      <alignment horizontal="center"/>
    </xf>
    <xf numFmtId="3" fontId="4" fillId="0" borderId="36" xfId="0" applyNumberFormat="1" applyFont="1" applyFill="1" applyBorder="1" applyAlignment="1">
      <alignment horizontal="center"/>
    </xf>
    <xf numFmtId="0" fontId="4" fillId="0" borderId="30" xfId="0" applyFont="1" applyFill="1" applyBorder="1"/>
    <xf numFmtId="164" fontId="4" fillId="0" borderId="31" xfId="0" applyNumberFormat="1" applyFont="1" applyFill="1" applyBorder="1" applyAlignment="1">
      <alignment horizontal="center"/>
    </xf>
    <xf numFmtId="164" fontId="4" fillId="0" borderId="32" xfId="0" applyNumberFormat="1" applyFont="1" applyFill="1" applyBorder="1" applyAlignment="1">
      <alignment horizontal="center"/>
    </xf>
    <xf numFmtId="164" fontId="4" fillId="0" borderId="30" xfId="0" applyNumberFormat="1" applyFont="1" applyFill="1" applyBorder="1" applyAlignment="1">
      <alignment horizontal="center"/>
    </xf>
    <xf numFmtId="1" fontId="4" fillId="0" borderId="30" xfId="0" applyNumberFormat="1" applyFont="1" applyFill="1" applyBorder="1" applyAlignment="1">
      <alignment horizontal="center"/>
    </xf>
    <xf numFmtId="0" fontId="4" fillId="0" borderId="33" xfId="0" applyFont="1" applyFill="1" applyBorder="1" applyAlignment="1">
      <alignment horizontal="center"/>
    </xf>
    <xf numFmtId="0" fontId="4" fillId="0" borderId="32" xfId="0" applyFont="1" applyFill="1" applyBorder="1" applyAlignment="1">
      <alignment horizontal="center"/>
    </xf>
    <xf numFmtId="0" fontId="4" fillId="0" borderId="31" xfId="0" applyFont="1" applyFill="1" applyBorder="1" applyAlignment="1">
      <alignment horizontal="center"/>
    </xf>
    <xf numFmtId="0" fontId="5" fillId="0" borderId="15" xfId="0" applyFont="1" applyFill="1" applyBorder="1"/>
    <xf numFmtId="164" fontId="2" fillId="0" borderId="16" xfId="0" applyNumberFormat="1" applyFont="1" applyFill="1" applyBorder="1" applyAlignment="1">
      <alignment horizontal="center"/>
    </xf>
    <xf numFmtId="164" fontId="2" fillId="0" borderId="17" xfId="0" applyNumberFormat="1" applyFont="1" applyFill="1" applyBorder="1" applyAlignment="1">
      <alignment horizontal="center"/>
    </xf>
    <xf numFmtId="164" fontId="2" fillId="0" borderId="4" xfId="0" applyNumberFormat="1" applyFont="1" applyFill="1" applyBorder="1" applyAlignment="1">
      <alignment horizontal="center"/>
    </xf>
    <xf numFmtId="164" fontId="2" fillId="0" borderId="19" xfId="0" applyNumberFormat="1" applyFont="1" applyFill="1" applyBorder="1" applyAlignment="1">
      <alignment horizontal="center"/>
    </xf>
    <xf numFmtId="1" fontId="2" fillId="0" borderId="20" xfId="0" applyNumberFormat="1" applyFont="1" applyFill="1" applyBorder="1" applyAlignment="1">
      <alignment horizontal="center"/>
    </xf>
    <xf numFmtId="1" fontId="2" fillId="0" borderId="21" xfId="0" applyNumberFormat="1" applyFont="1" applyFill="1" applyBorder="1" applyAlignment="1">
      <alignment horizontal="center"/>
    </xf>
    <xf numFmtId="1" fontId="2" fillId="0" borderId="40" xfId="0" applyNumberFormat="1" applyFont="1" applyFill="1" applyBorder="1" applyAlignment="1">
      <alignment horizontal="center"/>
    </xf>
    <xf numFmtId="0" fontId="2" fillId="2" borderId="0" xfId="0" applyFont="1" applyFill="1" applyAlignment="1">
      <alignment horizontal="left" wrapText="1"/>
    </xf>
    <xf numFmtId="165" fontId="2" fillId="0" borderId="14" xfId="0" applyNumberFormat="1" applyFont="1" applyFill="1" applyBorder="1" applyAlignment="1">
      <alignment horizontal="center"/>
    </xf>
    <xf numFmtId="166" fontId="2" fillId="0" borderId="22" xfId="0" applyNumberFormat="1" applyFont="1" applyFill="1" applyBorder="1" applyAlignment="1">
      <alignment horizontal="center"/>
    </xf>
    <xf numFmtId="164" fontId="2" fillId="0" borderId="22" xfId="0" applyNumberFormat="1" applyFont="1" applyFill="1" applyBorder="1" applyAlignment="1">
      <alignment horizontal="left"/>
    </xf>
    <xf numFmtId="164" fontId="2" fillId="0" borderId="25" xfId="0" applyNumberFormat="1" applyFont="1" applyFill="1" applyBorder="1" applyAlignment="1">
      <alignment horizontal="center"/>
    </xf>
    <xf numFmtId="164" fontId="2" fillId="0" borderId="26" xfId="0" applyNumberFormat="1" applyFont="1" applyFill="1" applyBorder="1" applyAlignment="1">
      <alignment horizontal="center"/>
    </xf>
    <xf numFmtId="164" fontId="2" fillId="0" borderId="27" xfId="0" applyNumberFormat="1" applyFont="1" applyFill="1" applyBorder="1" applyAlignment="1">
      <alignment horizontal="center"/>
    </xf>
    <xf numFmtId="3" fontId="2" fillId="0" borderId="28"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26" xfId="0" applyNumberFormat="1" applyFont="1" applyFill="1" applyBorder="1" applyAlignment="1">
      <alignment horizontal="center"/>
    </xf>
    <xf numFmtId="4" fontId="2" fillId="0" borderId="25" xfId="0" applyNumberFormat="1" applyFont="1" applyFill="1" applyBorder="1" applyAlignment="1">
      <alignment horizontal="center"/>
    </xf>
    <xf numFmtId="0" fontId="2" fillId="0" borderId="18" xfId="0" applyFont="1" applyFill="1" applyBorder="1"/>
    <xf numFmtId="0" fontId="5" fillId="0" borderId="30" xfId="0" applyFont="1" applyFill="1" applyBorder="1"/>
    <xf numFmtId="164" fontId="2" fillId="0" borderId="31" xfId="0" applyNumberFormat="1" applyFont="1" applyFill="1" applyBorder="1" applyAlignment="1">
      <alignment horizontal="center"/>
    </xf>
    <xf numFmtId="164" fontId="2" fillId="0" borderId="32" xfId="0" applyNumberFormat="1" applyFont="1" applyFill="1" applyBorder="1" applyAlignment="1">
      <alignment horizontal="center"/>
    </xf>
    <xf numFmtId="164" fontId="2" fillId="0" borderId="30" xfId="0" applyNumberFormat="1" applyFont="1" applyFill="1" applyBorder="1" applyAlignment="1">
      <alignment horizontal="center"/>
    </xf>
    <xf numFmtId="0" fontId="2" fillId="0" borderId="31" xfId="0" applyFont="1" applyFill="1" applyBorder="1" applyAlignment="1">
      <alignment horizontal="center"/>
    </xf>
    <xf numFmtId="0" fontId="2" fillId="0" borderId="33" xfId="0" applyFont="1" applyFill="1" applyBorder="1" applyAlignment="1">
      <alignment horizontal="center"/>
    </xf>
    <xf numFmtId="0" fontId="2" fillId="0" borderId="32" xfId="0" applyFont="1" applyFill="1" applyBorder="1" applyAlignment="1">
      <alignment horizontal="center"/>
    </xf>
    <xf numFmtId="1" fontId="2" fillId="0" borderId="37" xfId="0" applyNumberFormat="1" applyFont="1" applyFill="1" applyBorder="1" applyAlignment="1">
      <alignment horizontal="center"/>
    </xf>
    <xf numFmtId="0" fontId="5" fillId="0" borderId="28" xfId="0" applyFont="1" applyFill="1" applyBorder="1"/>
    <xf numFmtId="1" fontId="2" fillId="0" borderId="39" xfId="0" applyNumberFormat="1" applyFont="1" applyFill="1" applyBorder="1" applyAlignment="1">
      <alignment horizontal="center"/>
    </xf>
    <xf numFmtId="164" fontId="9" fillId="0" borderId="22"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topLeftCell="C1" zoomScaleNormal="100" workbookViewId="0">
      <selection activeCell="S7" sqref="S6:S7"/>
    </sheetView>
  </sheetViews>
  <sheetFormatPr defaultColWidth="9.140625" defaultRowHeight="15"/>
  <cols>
    <col min="1" max="1" width="20.85546875" style="15" customWidth="1"/>
    <col min="2" max="2" width="9" style="15" customWidth="1"/>
    <col min="3" max="3" width="9.140625" style="15"/>
    <col min="4" max="4" width="8.7109375" style="15" customWidth="1"/>
    <col min="5" max="5" width="8.42578125" style="15" customWidth="1"/>
    <col min="6" max="6" width="7" style="15" customWidth="1"/>
    <col min="7" max="7" width="6.42578125" style="15" customWidth="1"/>
    <col min="8" max="8" width="7.140625" style="15" customWidth="1"/>
    <col min="9" max="10" width="6.42578125" style="15" customWidth="1"/>
    <col min="11" max="11" width="7.140625" style="15" customWidth="1"/>
    <col min="12" max="12" width="6.42578125" style="15" customWidth="1"/>
    <col min="13" max="13" width="12.85546875" style="15" customWidth="1"/>
    <col min="14" max="14" width="14.7109375" style="15" customWidth="1"/>
    <col min="15" max="15" width="10.85546875" style="15" bestFit="1" customWidth="1"/>
    <col min="16" max="16" width="16.5703125" style="15" bestFit="1" customWidth="1"/>
    <col min="17" max="18" width="9.7109375" style="15" customWidth="1"/>
    <col min="19" max="19" width="166.140625" style="15" customWidth="1"/>
    <col min="20" max="16384" width="9.140625" style="15"/>
  </cols>
  <sheetData>
    <row r="1" spans="1:19">
      <c r="B1" s="16">
        <v>2017</v>
      </c>
      <c r="C1" s="16" t="s">
        <v>33</v>
      </c>
      <c r="D1" s="16"/>
      <c r="E1" s="16"/>
      <c r="F1" s="16"/>
      <c r="G1" s="16"/>
      <c r="H1" s="16"/>
      <c r="I1" s="16"/>
      <c r="J1" s="16"/>
      <c r="K1" s="16"/>
      <c r="L1" s="16"/>
      <c r="M1" s="16"/>
      <c r="N1" s="16"/>
      <c r="O1" s="16"/>
      <c r="P1" s="16"/>
      <c r="Q1" s="16"/>
      <c r="S1" s="17"/>
    </row>
    <row r="2" spans="1:19">
      <c r="B2" s="16"/>
      <c r="C2" s="16" t="s">
        <v>0</v>
      </c>
      <c r="D2" s="16"/>
      <c r="E2" s="16"/>
      <c r="F2" s="16"/>
      <c r="G2" s="16"/>
      <c r="H2" s="16"/>
      <c r="I2" s="16"/>
      <c r="J2" s="16"/>
      <c r="K2" s="16"/>
      <c r="L2" s="16"/>
      <c r="M2" s="16"/>
      <c r="N2" s="16"/>
      <c r="O2" s="16"/>
      <c r="P2" s="16"/>
      <c r="Q2" s="16"/>
      <c r="S2" s="17"/>
    </row>
    <row r="3" spans="1:19">
      <c r="B3" s="1" t="s">
        <v>1</v>
      </c>
      <c r="C3" s="16"/>
      <c r="D3" s="16"/>
      <c r="E3" s="16"/>
      <c r="F3" s="16"/>
      <c r="G3" s="16"/>
      <c r="H3" s="16"/>
      <c r="I3" s="16"/>
      <c r="J3" s="16"/>
      <c r="K3" s="16"/>
      <c r="L3" s="16"/>
      <c r="M3" s="16"/>
      <c r="N3" s="16"/>
      <c r="O3" s="16"/>
      <c r="P3" s="16"/>
      <c r="Q3" s="16"/>
      <c r="S3" s="17"/>
    </row>
    <row r="4" spans="1:19" ht="15" customHeight="1">
      <c r="B4" s="16"/>
      <c r="C4" s="1" t="s">
        <v>2</v>
      </c>
      <c r="D4" s="1"/>
      <c r="E4" s="16"/>
      <c r="F4" s="16"/>
      <c r="G4" s="16"/>
      <c r="H4" s="16"/>
      <c r="I4" s="16"/>
      <c r="J4" s="16"/>
      <c r="K4" s="16"/>
      <c r="L4" s="16"/>
      <c r="M4" s="16"/>
      <c r="N4" s="16"/>
      <c r="O4" s="16"/>
      <c r="P4" s="16"/>
      <c r="Q4" s="16"/>
      <c r="S4" s="17"/>
    </row>
    <row r="5" spans="1:19" ht="15.75" thickBot="1">
      <c r="B5" s="16" t="s">
        <v>118</v>
      </c>
      <c r="C5" s="1"/>
      <c r="D5" s="1"/>
      <c r="E5" s="16"/>
      <c r="F5" s="16"/>
      <c r="G5" s="16"/>
      <c r="H5" s="16"/>
      <c r="I5" s="16"/>
      <c r="J5" s="16"/>
      <c r="K5" s="16"/>
      <c r="L5" s="16"/>
      <c r="M5" s="16"/>
      <c r="N5" s="16"/>
      <c r="O5" s="16"/>
      <c r="P5" s="16"/>
      <c r="Q5" s="16"/>
      <c r="S5" s="4" t="s">
        <v>3</v>
      </c>
    </row>
    <row r="6" spans="1:19" ht="15.75" thickBot="1">
      <c r="A6" s="18" t="s">
        <v>4</v>
      </c>
      <c r="B6" s="37" t="s">
        <v>5</v>
      </c>
      <c r="C6" s="37"/>
      <c r="D6" s="38" t="s">
        <v>6</v>
      </c>
      <c r="E6" s="39"/>
      <c r="F6" s="40"/>
      <c r="G6" s="41" t="s">
        <v>7</v>
      </c>
      <c r="H6" s="42"/>
      <c r="I6" s="40"/>
      <c r="J6" s="41" t="s">
        <v>8</v>
      </c>
      <c r="K6" s="42"/>
      <c r="L6" s="40" t="s">
        <v>9</v>
      </c>
      <c r="M6" s="43"/>
      <c r="N6" s="66" t="s">
        <v>36</v>
      </c>
      <c r="O6" s="3" t="s">
        <v>10</v>
      </c>
      <c r="P6" s="3" t="s">
        <v>11</v>
      </c>
      <c r="Q6" s="3" t="s">
        <v>12</v>
      </c>
      <c r="R6" s="3" t="s">
        <v>12</v>
      </c>
      <c r="S6" s="9"/>
    </row>
    <row r="7" spans="1:19" ht="15.75" thickBot="1">
      <c r="A7" s="27" t="s">
        <v>13</v>
      </c>
      <c r="B7" s="47" t="s">
        <v>14</v>
      </c>
      <c r="C7" s="48" t="s">
        <v>15</v>
      </c>
      <c r="D7" s="49" t="s">
        <v>16</v>
      </c>
      <c r="E7" s="46" t="s">
        <v>17</v>
      </c>
      <c r="F7" s="47" t="s">
        <v>16</v>
      </c>
      <c r="G7" s="50" t="s">
        <v>18</v>
      </c>
      <c r="H7" s="48" t="s">
        <v>19</v>
      </c>
      <c r="I7" s="47" t="s">
        <v>16</v>
      </c>
      <c r="J7" s="50" t="s">
        <v>18</v>
      </c>
      <c r="K7" s="48" t="s">
        <v>19</v>
      </c>
      <c r="L7" s="47" t="s">
        <v>16</v>
      </c>
      <c r="M7" s="68" t="s">
        <v>20</v>
      </c>
      <c r="N7" s="67" t="s">
        <v>119</v>
      </c>
      <c r="O7" s="10" t="s">
        <v>21</v>
      </c>
      <c r="P7" s="10" t="s">
        <v>120</v>
      </c>
      <c r="Q7" s="10" t="s">
        <v>10</v>
      </c>
      <c r="R7" s="5" t="s">
        <v>22</v>
      </c>
      <c r="S7" s="9"/>
    </row>
    <row r="8" spans="1:19" ht="15" customHeight="1">
      <c r="A8" s="131" t="s">
        <v>109</v>
      </c>
      <c r="B8" s="132"/>
      <c r="C8" s="133">
        <f>O8/2</f>
        <v>7.2549999999999999</v>
      </c>
      <c r="D8" s="134">
        <v>3.48</v>
      </c>
      <c r="E8" s="96">
        <v>1000</v>
      </c>
      <c r="F8" s="135"/>
      <c r="G8" s="136"/>
      <c r="H8" s="137"/>
      <c r="I8" s="135"/>
      <c r="J8" s="136"/>
      <c r="K8" s="137"/>
      <c r="L8" s="132"/>
      <c r="M8" s="138"/>
      <c r="N8" s="71">
        <f>C8 +(D8*13)</f>
        <v>52.495000000000005</v>
      </c>
      <c r="O8" s="71">
        <v>14.51</v>
      </c>
      <c r="P8" s="71">
        <v>89.83</v>
      </c>
      <c r="Q8" s="71">
        <f>O8+P8</f>
        <v>104.34</v>
      </c>
      <c r="R8" s="97">
        <f>N8+Q8</f>
        <v>156.83500000000001</v>
      </c>
      <c r="S8" s="9" t="s">
        <v>203</v>
      </c>
    </row>
    <row r="9" spans="1:19">
      <c r="A9" s="72" t="s">
        <v>76</v>
      </c>
      <c r="B9" s="73"/>
      <c r="C9" s="74">
        <v>1.5</v>
      </c>
      <c r="D9" s="75">
        <v>3</v>
      </c>
      <c r="E9" s="96">
        <v>1000</v>
      </c>
      <c r="F9" s="73"/>
      <c r="G9" s="76"/>
      <c r="H9" s="77"/>
      <c r="I9" s="78"/>
      <c r="J9" s="76"/>
      <c r="K9" s="77"/>
      <c r="L9" s="73"/>
      <c r="M9" s="80"/>
      <c r="N9" s="71">
        <f>C9 +(D9*13)</f>
        <v>40.5</v>
      </c>
      <c r="O9" s="71">
        <v>14.51</v>
      </c>
      <c r="P9" s="71">
        <v>89.83</v>
      </c>
      <c r="Q9" s="71">
        <f t="shared" ref="Q9:Q33" si="0">O9+P9</f>
        <v>104.34</v>
      </c>
      <c r="R9" s="97">
        <f t="shared" ref="R9:R33" si="1">N9+Q9</f>
        <v>144.84</v>
      </c>
      <c r="S9" s="139" t="s">
        <v>209</v>
      </c>
    </row>
    <row r="10" spans="1:19">
      <c r="A10" s="72" t="s">
        <v>208</v>
      </c>
      <c r="B10" s="73"/>
      <c r="C10" s="74">
        <v>1.5</v>
      </c>
      <c r="D10" s="75">
        <v>4.5</v>
      </c>
      <c r="E10" s="96">
        <v>1000</v>
      </c>
      <c r="F10" s="73"/>
      <c r="G10" s="76"/>
      <c r="H10" s="77"/>
      <c r="I10" s="78"/>
      <c r="J10" s="76"/>
      <c r="K10" s="77"/>
      <c r="L10" s="73"/>
      <c r="M10" s="80"/>
      <c r="N10" s="71">
        <f t="shared" ref="N10:N33" si="2">C10 +(D10*13)</f>
        <v>60</v>
      </c>
      <c r="O10" s="71">
        <v>14.51</v>
      </c>
      <c r="P10" s="71">
        <v>89.83</v>
      </c>
      <c r="Q10" s="71">
        <f t="shared" si="0"/>
        <v>104.34</v>
      </c>
      <c r="R10" s="97">
        <f t="shared" si="1"/>
        <v>164.34</v>
      </c>
      <c r="S10" s="139" t="s">
        <v>217</v>
      </c>
    </row>
    <row r="11" spans="1:19">
      <c r="A11" s="72" t="s">
        <v>177</v>
      </c>
      <c r="B11" s="73"/>
      <c r="C11" s="74"/>
      <c r="D11" s="75">
        <v>6</v>
      </c>
      <c r="E11" s="96">
        <v>1000</v>
      </c>
      <c r="F11" s="73"/>
      <c r="G11" s="76"/>
      <c r="H11" s="77"/>
      <c r="I11" s="78"/>
      <c r="J11" s="76"/>
      <c r="K11" s="77"/>
      <c r="L11" s="73"/>
      <c r="M11" s="80"/>
      <c r="N11" s="71">
        <f t="shared" si="2"/>
        <v>78</v>
      </c>
      <c r="O11" s="71">
        <v>14.51</v>
      </c>
      <c r="P11" s="71">
        <v>89.83</v>
      </c>
      <c r="Q11" s="71">
        <f t="shared" si="0"/>
        <v>104.34</v>
      </c>
      <c r="R11" s="97">
        <f t="shared" si="1"/>
        <v>182.34</v>
      </c>
      <c r="S11" s="139" t="s">
        <v>178</v>
      </c>
    </row>
    <row r="12" spans="1:19">
      <c r="A12" s="72" t="s">
        <v>189</v>
      </c>
      <c r="B12" s="73"/>
      <c r="C12" s="74">
        <v>0</v>
      </c>
      <c r="D12" s="75">
        <f>73.6-13.07-(8*6.23)</f>
        <v>10.689999999999991</v>
      </c>
      <c r="E12" s="96">
        <v>8000</v>
      </c>
      <c r="F12" s="73">
        <f>9.2-6.23</f>
        <v>2.9699999999999989</v>
      </c>
      <c r="G12" s="76">
        <v>8001</v>
      </c>
      <c r="H12" s="77"/>
      <c r="I12" s="78"/>
      <c r="J12" s="76"/>
      <c r="K12" s="77"/>
      <c r="L12" s="73"/>
      <c r="M12" s="80"/>
      <c r="N12" s="71">
        <f>D12 +(F12*8)</f>
        <v>34.449999999999982</v>
      </c>
      <c r="O12" s="71">
        <v>14.51</v>
      </c>
      <c r="P12" s="71">
        <v>89.83</v>
      </c>
      <c r="Q12" s="71">
        <f t="shared" si="0"/>
        <v>104.34</v>
      </c>
      <c r="R12" s="97">
        <f t="shared" si="1"/>
        <v>138.79</v>
      </c>
      <c r="S12" s="6" t="s">
        <v>190</v>
      </c>
    </row>
    <row r="13" spans="1:19">
      <c r="A13" s="72" t="s">
        <v>75</v>
      </c>
      <c r="B13" s="73"/>
      <c r="C13" s="74">
        <f>14.52/2</f>
        <v>7.26</v>
      </c>
      <c r="D13" s="140">
        <f>6.91/2</f>
        <v>3.4550000000000001</v>
      </c>
      <c r="E13" s="96">
        <v>1000</v>
      </c>
      <c r="F13" s="73"/>
      <c r="G13" s="76"/>
      <c r="H13" s="77"/>
      <c r="I13" s="78"/>
      <c r="J13" s="76"/>
      <c r="K13" s="77"/>
      <c r="L13" s="73"/>
      <c r="M13" s="80"/>
      <c r="N13" s="71">
        <f t="shared" si="2"/>
        <v>52.174999999999997</v>
      </c>
      <c r="O13" s="71">
        <v>14.51</v>
      </c>
      <c r="P13" s="71">
        <v>89.83</v>
      </c>
      <c r="Q13" s="71">
        <f t="shared" si="0"/>
        <v>104.34</v>
      </c>
      <c r="R13" s="97">
        <f t="shared" si="1"/>
        <v>156.51499999999999</v>
      </c>
      <c r="S13" s="139" t="s">
        <v>151</v>
      </c>
    </row>
    <row r="14" spans="1:19">
      <c r="A14" s="72" t="s">
        <v>96</v>
      </c>
      <c r="B14" s="73"/>
      <c r="C14" s="74">
        <v>1.5</v>
      </c>
      <c r="D14" s="75">
        <v>4.7</v>
      </c>
      <c r="E14" s="96">
        <v>1000</v>
      </c>
      <c r="F14" s="73"/>
      <c r="G14" s="76"/>
      <c r="H14" s="77"/>
      <c r="I14" s="78"/>
      <c r="J14" s="76"/>
      <c r="K14" s="77"/>
      <c r="L14" s="141">
        <v>0.03</v>
      </c>
      <c r="M14" s="75">
        <f>(N14+Q14)*0.03</f>
        <v>5.0081999999999995</v>
      </c>
      <c r="N14" s="71">
        <f t="shared" si="2"/>
        <v>62.6</v>
      </c>
      <c r="O14" s="71">
        <v>14.51</v>
      </c>
      <c r="P14" s="71">
        <v>89.83</v>
      </c>
      <c r="Q14" s="71">
        <f t="shared" si="0"/>
        <v>104.34</v>
      </c>
      <c r="R14" s="97">
        <f>N14+Q14+M14</f>
        <v>171.94819999999999</v>
      </c>
      <c r="S14" s="139" t="s">
        <v>132</v>
      </c>
    </row>
    <row r="15" spans="1:19">
      <c r="A15" s="72" t="s">
        <v>74</v>
      </c>
      <c r="B15" s="73"/>
      <c r="C15" s="74">
        <v>0</v>
      </c>
      <c r="D15" s="75">
        <v>4.75</v>
      </c>
      <c r="E15" s="96">
        <v>1000</v>
      </c>
      <c r="F15" s="73"/>
      <c r="G15" s="76"/>
      <c r="H15" s="77"/>
      <c r="I15" s="78"/>
      <c r="J15" s="76"/>
      <c r="K15" s="77"/>
      <c r="L15" s="73"/>
      <c r="M15" s="80"/>
      <c r="N15" s="71">
        <f t="shared" si="2"/>
        <v>61.75</v>
      </c>
      <c r="O15" s="71">
        <v>14.51</v>
      </c>
      <c r="P15" s="71">
        <v>89.83</v>
      </c>
      <c r="Q15" s="71">
        <f t="shared" si="0"/>
        <v>104.34</v>
      </c>
      <c r="R15" s="97">
        <f t="shared" si="1"/>
        <v>166.09</v>
      </c>
      <c r="S15" s="6" t="s">
        <v>150</v>
      </c>
    </row>
    <row r="16" spans="1:19">
      <c r="A16" s="72" t="s">
        <v>82</v>
      </c>
      <c r="B16" s="73"/>
      <c r="C16" s="74"/>
      <c r="D16" s="75">
        <f>24.76-4.84-(2*6.96)</f>
        <v>6.0000000000000018</v>
      </c>
      <c r="E16" s="96">
        <v>2000</v>
      </c>
      <c r="F16" s="73">
        <f>11.79-6.23</f>
        <v>5.5599999999999987</v>
      </c>
      <c r="G16" s="76">
        <v>2001</v>
      </c>
      <c r="H16" s="77"/>
      <c r="I16" s="78"/>
      <c r="J16" s="76"/>
      <c r="K16" s="77"/>
      <c r="L16" s="73"/>
      <c r="M16" s="80"/>
      <c r="N16" s="71">
        <f t="shared" si="2"/>
        <v>78.000000000000028</v>
      </c>
      <c r="O16" s="71">
        <v>14.51</v>
      </c>
      <c r="P16" s="71">
        <v>89.83</v>
      </c>
      <c r="Q16" s="71">
        <f t="shared" si="0"/>
        <v>104.34</v>
      </c>
      <c r="R16" s="97">
        <f t="shared" si="1"/>
        <v>182.34000000000003</v>
      </c>
      <c r="S16" s="6" t="s">
        <v>202</v>
      </c>
    </row>
    <row r="17" spans="1:19">
      <c r="A17" s="72" t="s">
        <v>185</v>
      </c>
      <c r="B17" s="73"/>
      <c r="C17" s="74">
        <v>0</v>
      </c>
      <c r="D17" s="75">
        <v>0.7</v>
      </c>
      <c r="E17" s="96">
        <v>1000</v>
      </c>
      <c r="F17" s="73"/>
      <c r="G17" s="76"/>
      <c r="H17" s="77"/>
      <c r="I17" s="78"/>
      <c r="J17" s="76"/>
      <c r="K17" s="77"/>
      <c r="L17" s="73"/>
      <c r="M17" s="80"/>
      <c r="N17" s="71">
        <f t="shared" si="2"/>
        <v>9.1</v>
      </c>
      <c r="O17" s="71">
        <v>14.51</v>
      </c>
      <c r="P17" s="71">
        <v>89.83</v>
      </c>
      <c r="Q17" s="71">
        <f t="shared" si="0"/>
        <v>104.34</v>
      </c>
      <c r="R17" s="97">
        <f t="shared" si="1"/>
        <v>113.44</v>
      </c>
      <c r="S17" s="139" t="s">
        <v>184</v>
      </c>
    </row>
    <row r="18" spans="1:19">
      <c r="A18" s="72" t="s">
        <v>148</v>
      </c>
      <c r="B18" s="73"/>
      <c r="C18" s="74">
        <v>0</v>
      </c>
      <c r="D18" s="75">
        <v>52.3</v>
      </c>
      <c r="E18" s="96" t="s">
        <v>24</v>
      </c>
      <c r="F18" s="142" t="s">
        <v>25</v>
      </c>
      <c r="G18" s="76"/>
      <c r="H18" s="77"/>
      <c r="I18" s="78"/>
      <c r="J18" s="76"/>
      <c r="K18" s="77"/>
      <c r="L18" s="73"/>
      <c r="M18" s="80"/>
      <c r="N18" s="71">
        <f>D18</f>
        <v>52.3</v>
      </c>
      <c r="O18" s="71">
        <v>14.51</v>
      </c>
      <c r="P18" s="71">
        <v>89.83</v>
      </c>
      <c r="Q18" s="71">
        <f t="shared" si="0"/>
        <v>104.34</v>
      </c>
      <c r="R18" s="97">
        <f t="shared" si="1"/>
        <v>156.63999999999999</v>
      </c>
      <c r="S18" s="139" t="s">
        <v>149</v>
      </c>
    </row>
    <row r="19" spans="1:19">
      <c r="A19" s="72" t="s">
        <v>163</v>
      </c>
      <c r="B19" s="73"/>
      <c r="C19" s="74">
        <v>4.5</v>
      </c>
      <c r="D19" s="75">
        <f>12.72+6.91</f>
        <v>19.630000000000003</v>
      </c>
      <c r="E19" s="96">
        <v>6000</v>
      </c>
      <c r="F19" s="73">
        <f>12.3-6.91</f>
        <v>5.3900000000000006</v>
      </c>
      <c r="G19" s="76">
        <v>6001</v>
      </c>
      <c r="H19" s="77"/>
      <c r="I19" s="78"/>
      <c r="J19" s="76"/>
      <c r="K19" s="77"/>
      <c r="L19" s="73"/>
      <c r="M19" s="80"/>
      <c r="N19" s="71">
        <f>C19 +D19+(F19*7)</f>
        <v>61.860000000000007</v>
      </c>
      <c r="O19" s="71">
        <v>14.51</v>
      </c>
      <c r="P19" s="71">
        <v>89.83</v>
      </c>
      <c r="Q19" s="71">
        <f t="shared" si="0"/>
        <v>104.34</v>
      </c>
      <c r="R19" s="97">
        <f>N19+Q19</f>
        <v>166.20000000000002</v>
      </c>
      <c r="S19" s="139" t="s">
        <v>164</v>
      </c>
    </row>
    <row r="20" spans="1:19">
      <c r="A20" s="72" t="s">
        <v>107</v>
      </c>
      <c r="B20" s="143"/>
      <c r="C20" s="144">
        <f>15-13.07</f>
        <v>1.9299999999999997</v>
      </c>
      <c r="D20" s="145">
        <f>13.54-6.23</f>
        <v>7.3099999999999987</v>
      </c>
      <c r="E20" s="146">
        <v>1000</v>
      </c>
      <c r="F20" s="143"/>
      <c r="G20" s="147"/>
      <c r="H20" s="148"/>
      <c r="I20" s="149"/>
      <c r="J20" s="147"/>
      <c r="K20" s="148"/>
      <c r="L20" s="143"/>
      <c r="M20" s="80"/>
      <c r="N20" s="71">
        <f t="shared" si="2"/>
        <v>96.95999999999998</v>
      </c>
      <c r="O20" s="71">
        <v>14.51</v>
      </c>
      <c r="P20" s="71">
        <v>89.83</v>
      </c>
      <c r="Q20" s="71">
        <f t="shared" si="0"/>
        <v>104.34</v>
      </c>
      <c r="R20" s="97">
        <f t="shared" si="1"/>
        <v>201.29999999999998</v>
      </c>
      <c r="S20" s="139" t="s">
        <v>196</v>
      </c>
    </row>
    <row r="21" spans="1:19">
      <c r="A21" s="72" t="s">
        <v>26</v>
      </c>
      <c r="B21" s="73"/>
      <c r="C21" s="75">
        <v>0</v>
      </c>
      <c r="D21" s="71">
        <f>85.8-(3*6.96)</f>
        <v>64.92</v>
      </c>
      <c r="E21" s="146">
        <v>3000</v>
      </c>
      <c r="F21" s="73">
        <f>8.34-6.91</f>
        <v>1.4299999999999997</v>
      </c>
      <c r="G21" s="76">
        <v>3001</v>
      </c>
      <c r="H21" s="80"/>
      <c r="I21" s="78"/>
      <c r="J21" s="76"/>
      <c r="K21" s="80"/>
      <c r="L21" s="73"/>
      <c r="M21" s="80"/>
      <c r="N21" s="71">
        <f>(D21)+(F21*10)</f>
        <v>79.22</v>
      </c>
      <c r="O21" s="71">
        <v>14.51</v>
      </c>
      <c r="P21" s="71">
        <v>89.83</v>
      </c>
      <c r="Q21" s="71">
        <f t="shared" si="0"/>
        <v>104.34</v>
      </c>
      <c r="R21" s="97">
        <f t="shared" si="1"/>
        <v>183.56</v>
      </c>
      <c r="S21" s="6" t="s">
        <v>179</v>
      </c>
    </row>
    <row r="22" spans="1:19" ht="15.75" thickBot="1">
      <c r="A22" s="72" t="s">
        <v>111</v>
      </c>
      <c r="B22" s="73"/>
      <c r="C22" s="75">
        <f>17.01-14.52</f>
        <v>2.490000000000002</v>
      </c>
      <c r="D22" s="71">
        <v>3.5</v>
      </c>
      <c r="E22" s="96">
        <v>1000</v>
      </c>
      <c r="F22" s="83"/>
      <c r="G22" s="81"/>
      <c r="H22" s="82"/>
      <c r="I22" s="83"/>
      <c r="J22" s="81"/>
      <c r="K22" s="82"/>
      <c r="L22" s="83"/>
      <c r="M22" s="82"/>
      <c r="N22" s="71">
        <f t="shared" si="2"/>
        <v>47.99</v>
      </c>
      <c r="O22" s="71">
        <v>14.51</v>
      </c>
      <c r="P22" s="71">
        <v>89.83</v>
      </c>
      <c r="Q22" s="71">
        <f t="shared" si="0"/>
        <v>104.34</v>
      </c>
      <c r="R22" s="97">
        <f t="shared" si="1"/>
        <v>152.33000000000001</v>
      </c>
      <c r="S22" s="139" t="s">
        <v>137</v>
      </c>
    </row>
    <row r="23" spans="1:19" ht="20.25" customHeight="1">
      <c r="A23" s="72" t="s">
        <v>27</v>
      </c>
      <c r="B23" s="73">
        <v>0</v>
      </c>
      <c r="C23" s="75"/>
      <c r="D23" s="71">
        <v>6.9</v>
      </c>
      <c r="E23" s="70">
        <v>1000</v>
      </c>
      <c r="F23" s="73"/>
      <c r="G23" s="81"/>
      <c r="H23" s="82"/>
      <c r="I23" s="83"/>
      <c r="J23" s="81"/>
      <c r="K23" s="82"/>
      <c r="L23" s="83"/>
      <c r="M23" s="82"/>
      <c r="N23" s="71">
        <f t="shared" ref="N23" si="3">(B23*3)+(D23*13)</f>
        <v>89.7</v>
      </c>
      <c r="O23" s="71">
        <v>14.51</v>
      </c>
      <c r="P23" s="71">
        <v>89.83</v>
      </c>
      <c r="Q23" s="71">
        <f t="shared" si="0"/>
        <v>104.34</v>
      </c>
      <c r="R23" s="71">
        <f t="shared" si="1"/>
        <v>194.04000000000002</v>
      </c>
      <c r="S23" s="6" t="s">
        <v>212</v>
      </c>
    </row>
    <row r="24" spans="1:19">
      <c r="A24" s="72" t="s">
        <v>97</v>
      </c>
      <c r="B24" s="73">
        <v>0</v>
      </c>
      <c r="C24" s="75"/>
      <c r="D24" s="71">
        <v>30.7</v>
      </c>
      <c r="E24" s="96">
        <v>1870</v>
      </c>
      <c r="F24" s="83">
        <v>1.91</v>
      </c>
      <c r="G24" s="81">
        <v>1871</v>
      </c>
      <c r="H24" s="82"/>
      <c r="I24" s="83"/>
      <c r="J24" s="81"/>
      <c r="K24" s="82"/>
      <c r="L24" s="83"/>
      <c r="M24" s="82"/>
      <c r="N24" s="71">
        <v>30.77</v>
      </c>
      <c r="O24" s="71">
        <v>14.51</v>
      </c>
      <c r="P24" s="71">
        <v>89.83</v>
      </c>
      <c r="Q24" s="71">
        <f t="shared" si="0"/>
        <v>104.34</v>
      </c>
      <c r="R24" s="97">
        <f t="shared" si="1"/>
        <v>135.11000000000001</v>
      </c>
      <c r="S24" s="6" t="s">
        <v>154</v>
      </c>
    </row>
    <row r="25" spans="1:19">
      <c r="A25" s="72" t="s">
        <v>73</v>
      </c>
      <c r="B25" s="73"/>
      <c r="C25" s="74">
        <f>(3.54)+1.5</f>
        <v>5.04</v>
      </c>
      <c r="D25" s="75">
        <v>1.68</v>
      </c>
      <c r="E25" s="96">
        <v>1000</v>
      </c>
      <c r="F25" s="83"/>
      <c r="G25" s="81"/>
      <c r="H25" s="82"/>
      <c r="I25" s="83"/>
      <c r="J25" s="81"/>
      <c r="K25" s="82"/>
      <c r="L25" s="83"/>
      <c r="M25" s="82"/>
      <c r="N25" s="71">
        <f t="shared" si="2"/>
        <v>26.88</v>
      </c>
      <c r="O25" s="71">
        <v>14.51</v>
      </c>
      <c r="P25" s="71">
        <v>89.83</v>
      </c>
      <c r="Q25" s="71">
        <f t="shared" si="0"/>
        <v>104.34</v>
      </c>
      <c r="R25" s="97">
        <f t="shared" si="1"/>
        <v>131.22</v>
      </c>
      <c r="S25" s="139" t="s">
        <v>220</v>
      </c>
    </row>
    <row r="26" spans="1:19">
      <c r="A26" s="72" t="s">
        <v>215</v>
      </c>
      <c r="B26" s="73" t="s">
        <v>23</v>
      </c>
      <c r="C26" s="75" t="s">
        <v>23</v>
      </c>
      <c r="D26" s="71">
        <v>3.5</v>
      </c>
      <c r="E26" s="96">
        <v>1000</v>
      </c>
      <c r="F26" s="83"/>
      <c r="G26" s="81"/>
      <c r="H26" s="82"/>
      <c r="I26" s="83"/>
      <c r="J26" s="81"/>
      <c r="K26" s="82"/>
      <c r="L26" s="83"/>
      <c r="M26" s="82"/>
      <c r="N26" s="71">
        <f>D26*13</f>
        <v>45.5</v>
      </c>
      <c r="O26" s="71">
        <v>14.51</v>
      </c>
      <c r="P26" s="71">
        <v>89.83</v>
      </c>
      <c r="Q26" s="71">
        <f t="shared" si="0"/>
        <v>104.34</v>
      </c>
      <c r="R26" s="97">
        <f t="shared" si="1"/>
        <v>149.84</v>
      </c>
      <c r="S26" s="139" t="s">
        <v>216</v>
      </c>
    </row>
    <row r="27" spans="1:19" s="16" customFormat="1">
      <c r="A27" s="72" t="s">
        <v>28</v>
      </c>
      <c r="B27" s="73"/>
      <c r="C27" s="75">
        <f>14-13.07</f>
        <v>0.92999999999999972</v>
      </c>
      <c r="D27" s="71">
        <f>78.48-(6*6.23)</f>
        <v>41.1</v>
      </c>
      <c r="E27" s="96">
        <v>6000</v>
      </c>
      <c r="F27" s="75">
        <f>6-6.23</f>
        <v>-0.23000000000000043</v>
      </c>
      <c r="G27" s="81">
        <v>6001</v>
      </c>
      <c r="H27" s="82"/>
      <c r="I27" s="83"/>
      <c r="J27" s="81"/>
      <c r="K27" s="82"/>
      <c r="L27" s="83"/>
      <c r="M27" s="82"/>
      <c r="N27" s="71">
        <f>C27 +D27+(F27*7)</f>
        <v>40.42</v>
      </c>
      <c r="O27" s="71">
        <v>14.51</v>
      </c>
      <c r="P27" s="71">
        <v>89.83</v>
      </c>
      <c r="Q27" s="71">
        <f t="shared" si="0"/>
        <v>104.34</v>
      </c>
      <c r="R27" s="71">
        <f t="shared" si="1"/>
        <v>144.76</v>
      </c>
      <c r="S27" s="6" t="s">
        <v>121</v>
      </c>
    </row>
    <row r="28" spans="1:19">
      <c r="A28" s="72" t="s">
        <v>117</v>
      </c>
      <c r="B28" s="73"/>
      <c r="C28" s="75">
        <v>0</v>
      </c>
      <c r="D28" s="71">
        <v>0</v>
      </c>
      <c r="E28" s="96">
        <v>1000</v>
      </c>
      <c r="F28" s="75"/>
      <c r="G28" s="81"/>
      <c r="H28" s="82"/>
      <c r="I28" s="83"/>
      <c r="J28" s="81"/>
      <c r="K28" s="82"/>
      <c r="L28" s="83"/>
      <c r="M28" s="82"/>
      <c r="N28" s="71">
        <f t="shared" si="2"/>
        <v>0</v>
      </c>
      <c r="O28" s="71">
        <v>14.51</v>
      </c>
      <c r="P28" s="71">
        <v>89.83</v>
      </c>
      <c r="Q28" s="71">
        <f t="shared" si="0"/>
        <v>104.34</v>
      </c>
      <c r="R28" s="97">
        <f t="shared" si="1"/>
        <v>104.34</v>
      </c>
      <c r="S28" s="139" t="s">
        <v>201</v>
      </c>
    </row>
    <row r="29" spans="1:19">
      <c r="A29" s="72" t="s">
        <v>29</v>
      </c>
      <c r="B29" s="73"/>
      <c r="C29" s="75">
        <v>0</v>
      </c>
      <c r="D29" s="71">
        <v>0</v>
      </c>
      <c r="E29" s="96">
        <v>1000</v>
      </c>
      <c r="F29" s="75"/>
      <c r="G29" s="81"/>
      <c r="H29" s="82"/>
      <c r="I29" s="83"/>
      <c r="J29" s="81"/>
      <c r="K29" s="82"/>
      <c r="L29" s="83"/>
      <c r="M29" s="82"/>
      <c r="N29" s="71">
        <f t="shared" si="2"/>
        <v>0</v>
      </c>
      <c r="O29" s="71">
        <v>14.51</v>
      </c>
      <c r="P29" s="71">
        <v>89.83</v>
      </c>
      <c r="Q29" s="71">
        <f t="shared" si="0"/>
        <v>104.34</v>
      </c>
      <c r="R29" s="97">
        <f t="shared" si="1"/>
        <v>104.34</v>
      </c>
      <c r="S29" s="6" t="s">
        <v>53</v>
      </c>
    </row>
    <row r="30" spans="1:19" ht="26.25">
      <c r="A30" s="72" t="s">
        <v>63</v>
      </c>
      <c r="B30" s="73"/>
      <c r="C30" s="75"/>
      <c r="D30" s="71">
        <f>113.4+1.5-(10*6.91)</f>
        <v>45.800000000000011</v>
      </c>
      <c r="E30" s="96">
        <v>10000</v>
      </c>
      <c r="F30" s="75">
        <v>1.5</v>
      </c>
      <c r="G30" s="81">
        <v>10001</v>
      </c>
      <c r="H30" s="82"/>
      <c r="I30" s="83"/>
      <c r="J30" s="81"/>
      <c r="K30" s="82"/>
      <c r="L30" s="83"/>
      <c r="M30" s="82"/>
      <c r="N30" s="71">
        <f>C30 +D30+(F30*3)</f>
        <v>50.300000000000011</v>
      </c>
      <c r="O30" s="71">
        <v>14.51</v>
      </c>
      <c r="P30" s="71">
        <v>89.83</v>
      </c>
      <c r="Q30" s="71">
        <f t="shared" si="0"/>
        <v>104.34</v>
      </c>
      <c r="R30" s="97">
        <f t="shared" si="1"/>
        <v>154.64000000000001</v>
      </c>
      <c r="S30" s="139" t="s">
        <v>153</v>
      </c>
    </row>
    <row r="31" spans="1:19">
      <c r="A31" s="72" t="s">
        <v>70</v>
      </c>
      <c r="B31" s="73"/>
      <c r="C31" s="75">
        <v>0</v>
      </c>
      <c r="D31" s="71">
        <v>2.5</v>
      </c>
      <c r="E31" s="96">
        <v>1000</v>
      </c>
      <c r="F31" s="75"/>
      <c r="G31" s="81"/>
      <c r="H31" s="82"/>
      <c r="I31" s="83"/>
      <c r="J31" s="81"/>
      <c r="K31" s="82"/>
      <c r="L31" s="83"/>
      <c r="M31" s="82"/>
      <c r="N31" s="71">
        <f t="shared" si="2"/>
        <v>32.5</v>
      </c>
      <c r="O31" s="71">
        <v>14.51</v>
      </c>
      <c r="P31" s="71">
        <v>89.83</v>
      </c>
      <c r="Q31" s="71">
        <f t="shared" si="0"/>
        <v>104.34</v>
      </c>
      <c r="R31" s="97">
        <f t="shared" si="1"/>
        <v>136.84</v>
      </c>
      <c r="S31" s="139" t="s">
        <v>134</v>
      </c>
    </row>
    <row r="32" spans="1:19">
      <c r="A32" s="150" t="s">
        <v>71</v>
      </c>
      <c r="B32" s="73"/>
      <c r="C32" s="75">
        <v>1.5</v>
      </c>
      <c r="D32" s="71">
        <v>1.5</v>
      </c>
      <c r="E32" s="96">
        <v>1000</v>
      </c>
      <c r="F32" s="83"/>
      <c r="G32" s="81"/>
      <c r="H32" s="82"/>
      <c r="I32" s="83"/>
      <c r="J32" s="81"/>
      <c r="K32" s="82"/>
      <c r="L32" s="83"/>
      <c r="M32" s="82"/>
      <c r="N32" s="71">
        <f t="shared" si="2"/>
        <v>21</v>
      </c>
      <c r="O32" s="71">
        <v>14.51</v>
      </c>
      <c r="P32" s="71">
        <v>89.83</v>
      </c>
      <c r="Q32" s="71">
        <f t="shared" si="0"/>
        <v>104.34</v>
      </c>
      <c r="R32" s="97">
        <f t="shared" si="1"/>
        <v>125.34</v>
      </c>
      <c r="S32" s="139" t="s">
        <v>218</v>
      </c>
    </row>
    <row r="33" spans="1:19" ht="15.75" thickBot="1">
      <c r="A33" s="151" t="s">
        <v>72</v>
      </c>
      <c r="B33" s="152"/>
      <c r="C33" s="153">
        <v>1.5</v>
      </c>
      <c r="D33" s="154">
        <v>3</v>
      </c>
      <c r="E33" s="96">
        <v>1000</v>
      </c>
      <c r="F33" s="155"/>
      <c r="G33" s="156"/>
      <c r="H33" s="157"/>
      <c r="I33" s="155"/>
      <c r="J33" s="156"/>
      <c r="K33" s="157"/>
      <c r="L33" s="155"/>
      <c r="M33" s="157"/>
      <c r="N33" s="71">
        <f t="shared" si="2"/>
        <v>40.5</v>
      </c>
      <c r="O33" s="71">
        <v>14.51</v>
      </c>
      <c r="P33" s="71">
        <v>89.83</v>
      </c>
      <c r="Q33" s="71">
        <f t="shared" si="0"/>
        <v>104.34</v>
      </c>
      <c r="R33" s="97">
        <f t="shared" si="1"/>
        <v>144.84</v>
      </c>
      <c r="S33" s="139" t="s">
        <v>176</v>
      </c>
    </row>
    <row r="34" spans="1:19">
      <c r="A34" s="53"/>
      <c r="B34" s="54"/>
      <c r="C34" s="54"/>
      <c r="D34" s="54"/>
      <c r="E34" s="54"/>
      <c r="F34" s="55"/>
      <c r="G34" s="55"/>
      <c r="H34" s="55"/>
      <c r="I34" s="55"/>
      <c r="J34" s="55"/>
      <c r="K34" s="55"/>
      <c r="L34" s="55"/>
      <c r="M34" s="55"/>
      <c r="N34" s="55"/>
      <c r="O34" s="55"/>
      <c r="P34" s="55"/>
      <c r="Q34" s="55"/>
      <c r="R34" s="56"/>
      <c r="S34" s="17"/>
    </row>
    <row r="35" spans="1:19">
      <c r="A35" s="11" t="s">
        <v>30</v>
      </c>
      <c r="B35" s="7"/>
      <c r="C35" s="55"/>
      <c r="D35" s="55"/>
      <c r="E35" s="55"/>
      <c r="F35" s="55"/>
      <c r="G35" s="55"/>
      <c r="H35" s="55"/>
      <c r="I35" s="55"/>
      <c r="J35" s="55"/>
      <c r="K35" s="55"/>
      <c r="L35" s="55"/>
      <c r="M35" s="55"/>
      <c r="N35" s="55"/>
      <c r="O35" s="55"/>
      <c r="P35" s="55"/>
      <c r="Q35" s="55"/>
      <c r="R35" s="56"/>
      <c r="S35" s="17"/>
    </row>
    <row r="36" spans="1:19">
      <c r="A36" s="56"/>
      <c r="B36" s="55" t="s">
        <v>31</v>
      </c>
      <c r="C36" s="55"/>
      <c r="D36" s="55"/>
      <c r="E36" s="55"/>
      <c r="F36" s="55"/>
      <c r="G36" s="55"/>
      <c r="H36" s="55"/>
      <c r="I36" s="55"/>
      <c r="J36" s="55"/>
      <c r="K36" s="55"/>
      <c r="L36" s="55"/>
      <c r="M36" s="55"/>
      <c r="N36" s="55"/>
      <c r="O36" s="55"/>
      <c r="P36" s="55"/>
      <c r="Q36" s="55"/>
      <c r="R36" s="56"/>
      <c r="S36" s="17"/>
    </row>
    <row r="37" spans="1:19">
      <c r="A37" s="56"/>
      <c r="B37" s="7" t="s">
        <v>129</v>
      </c>
      <c r="C37" s="55"/>
      <c r="D37" s="55"/>
      <c r="E37" s="55"/>
      <c r="F37" s="55"/>
      <c r="G37" s="55"/>
      <c r="H37" s="55"/>
      <c r="I37" s="55"/>
      <c r="J37" s="55"/>
      <c r="K37" s="55"/>
      <c r="L37" s="55"/>
      <c r="M37" s="55"/>
      <c r="N37" s="55"/>
      <c r="O37" s="55"/>
      <c r="P37" s="55"/>
      <c r="Q37" s="55"/>
      <c r="R37" s="56"/>
      <c r="S37" s="17"/>
    </row>
    <row r="38" spans="1:19">
      <c r="A38" s="56"/>
      <c r="B38" s="7" t="s">
        <v>32</v>
      </c>
      <c r="C38" s="55"/>
      <c r="D38" s="55"/>
      <c r="E38" s="55"/>
      <c r="F38" s="55"/>
      <c r="G38" s="55"/>
      <c r="H38" s="55"/>
      <c r="I38" s="55"/>
      <c r="J38" s="55"/>
      <c r="K38" s="55"/>
      <c r="L38" s="55"/>
      <c r="M38" s="55"/>
      <c r="N38" s="55"/>
      <c r="O38" s="55"/>
      <c r="P38" s="55"/>
      <c r="Q38" s="55"/>
      <c r="R38" s="56"/>
      <c r="S38" s="6"/>
    </row>
    <row r="39" spans="1:19">
      <c r="A39" s="56"/>
      <c r="B39" s="15" t="s">
        <v>219</v>
      </c>
      <c r="C39" s="16"/>
      <c r="D39" s="16"/>
      <c r="E39" s="16"/>
      <c r="F39" s="16"/>
      <c r="G39" s="16"/>
      <c r="H39" s="16"/>
      <c r="I39" s="16"/>
      <c r="J39" s="16"/>
      <c r="K39" s="16"/>
      <c r="L39" s="16"/>
      <c r="M39" s="16"/>
      <c r="N39" s="16"/>
      <c r="O39" s="55"/>
      <c r="P39" s="55"/>
      <c r="Q39" s="55"/>
      <c r="R39" s="56"/>
      <c r="S39" s="17"/>
    </row>
    <row r="40" spans="1:19">
      <c r="A40" s="56"/>
      <c r="B40" s="55"/>
      <c r="C40" s="55"/>
      <c r="D40" s="55"/>
      <c r="E40" s="55"/>
      <c r="F40" s="55"/>
      <c r="G40" s="55"/>
      <c r="H40" s="55"/>
      <c r="I40" s="55"/>
      <c r="J40" s="55"/>
      <c r="K40" s="55"/>
      <c r="L40" s="55"/>
      <c r="M40" s="55"/>
      <c r="N40" s="55"/>
      <c r="O40" s="55"/>
      <c r="P40" s="55"/>
      <c r="Q40" s="55"/>
      <c r="R40" s="56"/>
      <c r="S40" s="17"/>
    </row>
  </sheetData>
  <sheetProtection formatCells="0" formatColumns="0" formatRows="0"/>
  <pageMargins left="0.7" right="0.7" top="0.75" bottom="0.75" header="0.3" footer="0.3"/>
  <pageSetup paperSize="17" fitToHeight="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W43"/>
  <sheetViews>
    <sheetView topLeftCell="A10" zoomScale="90" zoomScaleNormal="90" workbookViewId="0">
      <selection activeCell="J19" sqref="J19"/>
    </sheetView>
  </sheetViews>
  <sheetFormatPr defaultColWidth="9.140625" defaultRowHeight="15"/>
  <cols>
    <col min="1" max="1" width="28.85546875" style="15" customWidth="1"/>
    <col min="2" max="2" width="9" style="15" customWidth="1"/>
    <col min="3" max="3" width="10.28515625" style="15" customWidth="1"/>
    <col min="4" max="4" width="8.7109375" style="15" customWidth="1"/>
    <col min="5" max="5" width="7.28515625" style="15" customWidth="1"/>
    <col min="6" max="6" width="7.42578125" style="15" customWidth="1"/>
    <col min="7" max="7" width="7.5703125" style="15" customWidth="1"/>
    <col min="8" max="8" width="9.28515625" style="15" customWidth="1"/>
    <col min="9" max="9" width="6.42578125" style="15" customWidth="1"/>
    <col min="10" max="10" width="9.7109375" style="15" customWidth="1"/>
    <col min="11" max="11" width="8.5703125" style="15" customWidth="1"/>
    <col min="12" max="12" width="6.42578125" style="15" customWidth="1"/>
    <col min="13" max="13" width="8.85546875" style="15" customWidth="1"/>
    <col min="14" max="14" width="14.7109375" style="15" customWidth="1"/>
    <col min="15" max="15" width="10.7109375" style="15" bestFit="1" customWidth="1"/>
    <col min="16" max="16" width="16.42578125" style="15" bestFit="1" customWidth="1"/>
    <col min="17" max="17" width="9.85546875" style="15" bestFit="1" customWidth="1"/>
    <col min="18" max="18" width="11.42578125" style="15" bestFit="1" customWidth="1"/>
    <col min="19" max="19" width="61.5703125" style="35" customWidth="1"/>
    <col min="20" max="22" width="9.140625" style="16"/>
    <col min="23" max="23" width="13.85546875" style="16" customWidth="1"/>
    <col min="24" max="16384" width="9.140625" style="15"/>
  </cols>
  <sheetData>
    <row r="1" spans="1:23">
      <c r="B1" s="16">
        <v>2017</v>
      </c>
      <c r="C1" s="16" t="s">
        <v>33</v>
      </c>
      <c r="D1" s="16"/>
      <c r="E1" s="16"/>
      <c r="F1" s="16"/>
    </row>
    <row r="2" spans="1:23">
      <c r="B2" s="16"/>
      <c r="C2" s="16" t="s">
        <v>34</v>
      </c>
      <c r="D2" s="16"/>
      <c r="E2" s="16"/>
      <c r="F2" s="16"/>
    </row>
    <row r="3" spans="1:23">
      <c r="B3" s="12" t="s">
        <v>1</v>
      </c>
    </row>
    <row r="4" spans="1:23">
      <c r="C4" s="12" t="s">
        <v>2</v>
      </c>
      <c r="D4" s="12"/>
    </row>
    <row r="5" spans="1:23" ht="15.75" thickBot="1">
      <c r="B5" s="15" t="s">
        <v>118</v>
      </c>
      <c r="C5" s="12"/>
      <c r="D5" s="12"/>
    </row>
    <row r="6" spans="1:23" s="16" customFormat="1" ht="15.75" customHeight="1" thickBot="1">
      <c r="A6" s="36" t="s">
        <v>4</v>
      </c>
      <c r="B6" s="37" t="s">
        <v>5</v>
      </c>
      <c r="C6" s="37"/>
      <c r="D6" s="38" t="s">
        <v>35</v>
      </c>
      <c r="E6" s="39"/>
      <c r="F6" s="40"/>
      <c r="G6" s="41" t="s">
        <v>7</v>
      </c>
      <c r="H6" s="42"/>
      <c r="I6" s="40"/>
      <c r="J6" s="41" t="s">
        <v>8</v>
      </c>
      <c r="K6" s="42"/>
      <c r="L6" s="40" t="s">
        <v>9</v>
      </c>
      <c r="M6" s="43"/>
      <c r="N6" s="44" t="s">
        <v>36</v>
      </c>
      <c r="O6" s="36" t="s">
        <v>10</v>
      </c>
      <c r="P6" s="36" t="s">
        <v>11</v>
      </c>
      <c r="Q6" s="36" t="s">
        <v>12</v>
      </c>
      <c r="R6" s="36" t="s">
        <v>12</v>
      </c>
      <c r="S6" s="45"/>
    </row>
    <row r="7" spans="1:23" s="16" customFormat="1" ht="15.75" thickBot="1">
      <c r="A7" s="46" t="s">
        <v>13</v>
      </c>
      <c r="B7" s="47" t="s">
        <v>14</v>
      </c>
      <c r="C7" s="48" t="s">
        <v>15</v>
      </c>
      <c r="D7" s="49" t="s">
        <v>16</v>
      </c>
      <c r="E7" s="46" t="s">
        <v>17</v>
      </c>
      <c r="F7" s="47" t="s">
        <v>16</v>
      </c>
      <c r="G7" s="50" t="s">
        <v>18</v>
      </c>
      <c r="H7" s="48" t="s">
        <v>19</v>
      </c>
      <c r="I7" s="47" t="s">
        <v>16</v>
      </c>
      <c r="J7" s="50" t="s">
        <v>18</v>
      </c>
      <c r="K7" s="48" t="s">
        <v>19</v>
      </c>
      <c r="L7" s="47" t="s">
        <v>16</v>
      </c>
      <c r="M7" s="51" t="s">
        <v>20</v>
      </c>
      <c r="N7" s="46" t="s">
        <v>119</v>
      </c>
      <c r="O7" s="46" t="s">
        <v>21</v>
      </c>
      <c r="P7" s="46" t="s">
        <v>120</v>
      </c>
      <c r="Q7" s="46" t="s">
        <v>10</v>
      </c>
      <c r="R7" s="46" t="s">
        <v>22</v>
      </c>
      <c r="S7" s="69" t="s">
        <v>3</v>
      </c>
      <c r="T7" s="52"/>
      <c r="U7" s="52"/>
      <c r="V7" s="52"/>
      <c r="W7" s="52"/>
    </row>
    <row r="8" spans="1:23" s="16" customFormat="1" ht="28.5">
      <c r="A8" s="92" t="s">
        <v>48</v>
      </c>
      <c r="B8" s="98"/>
      <c r="C8" s="99">
        <v>0</v>
      </c>
      <c r="D8" s="100">
        <v>1.73</v>
      </c>
      <c r="E8" s="101">
        <v>1000</v>
      </c>
      <c r="F8" s="102"/>
      <c r="G8" s="103"/>
      <c r="H8" s="104"/>
      <c r="I8" s="102"/>
      <c r="J8" s="103"/>
      <c r="K8" s="104"/>
      <c r="L8" s="98"/>
      <c r="M8" s="105"/>
      <c r="N8" s="84">
        <f>(C8)+(D8*13)</f>
        <v>22.49</v>
      </c>
      <c r="O8" s="84">
        <v>14.51</v>
      </c>
      <c r="P8" s="84">
        <v>89.83</v>
      </c>
      <c r="Q8" s="84">
        <f>O8+P8</f>
        <v>104.34</v>
      </c>
      <c r="R8" s="84">
        <f t="shared" ref="R8:R37" si="0">N8+Q8</f>
        <v>126.83</v>
      </c>
      <c r="S8" s="85" t="s">
        <v>161</v>
      </c>
      <c r="T8" s="86"/>
      <c r="U8" s="86"/>
      <c r="V8" s="86"/>
      <c r="W8" s="86"/>
    </row>
    <row r="9" spans="1:23" s="16" customFormat="1" ht="29.25">
      <c r="A9" s="92" t="s">
        <v>52</v>
      </c>
      <c r="B9" s="87"/>
      <c r="C9" s="88">
        <v>9.9499999999999993</v>
      </c>
      <c r="D9" s="89">
        <v>2.1</v>
      </c>
      <c r="E9" s="90">
        <v>1000</v>
      </c>
      <c r="F9" s="87"/>
      <c r="G9" s="106"/>
      <c r="H9" s="107"/>
      <c r="I9" s="108"/>
      <c r="J9" s="106"/>
      <c r="K9" s="107"/>
      <c r="L9" s="87"/>
      <c r="M9" s="109"/>
      <c r="N9" s="84">
        <f t="shared" ref="N9:N37" si="1">(C9)+(D9*13)</f>
        <v>37.25</v>
      </c>
      <c r="O9" s="84">
        <v>14.51</v>
      </c>
      <c r="P9" s="84">
        <v>89.83</v>
      </c>
      <c r="Q9" s="84">
        <f t="shared" ref="Q9:Q37" si="2">O9+P9</f>
        <v>104.34</v>
      </c>
      <c r="R9" s="84">
        <f t="shared" si="0"/>
        <v>141.59</v>
      </c>
      <c r="S9" s="91" t="s">
        <v>193</v>
      </c>
      <c r="T9" s="86"/>
      <c r="U9" s="86"/>
      <c r="V9" s="86"/>
      <c r="W9" s="86"/>
    </row>
    <row r="10" spans="1:23" s="16" customFormat="1">
      <c r="A10" s="92" t="s">
        <v>92</v>
      </c>
      <c r="B10" s="87"/>
      <c r="C10" s="88">
        <v>2</v>
      </c>
      <c r="D10" s="89">
        <v>2.5</v>
      </c>
      <c r="E10" s="90">
        <v>1000</v>
      </c>
      <c r="F10" s="87" t="s">
        <v>23</v>
      </c>
      <c r="G10" s="106" t="s">
        <v>23</v>
      </c>
      <c r="H10" s="107"/>
      <c r="I10" s="108"/>
      <c r="J10" s="106"/>
      <c r="K10" s="107"/>
      <c r="L10" s="87"/>
      <c r="M10" s="109"/>
      <c r="N10" s="84">
        <f t="shared" si="1"/>
        <v>34.5</v>
      </c>
      <c r="O10" s="84">
        <v>14.51</v>
      </c>
      <c r="P10" s="84">
        <v>89.83</v>
      </c>
      <c r="Q10" s="84">
        <f t="shared" si="2"/>
        <v>104.34</v>
      </c>
      <c r="R10" s="84">
        <f t="shared" si="0"/>
        <v>138.84</v>
      </c>
      <c r="S10" s="85" t="s">
        <v>143</v>
      </c>
      <c r="T10" s="86"/>
      <c r="U10" s="86"/>
      <c r="V10" s="86"/>
      <c r="W10" s="86"/>
    </row>
    <row r="11" spans="1:23" s="16" customFormat="1" ht="28.5">
      <c r="A11" s="92" t="s">
        <v>37</v>
      </c>
      <c r="B11" s="87"/>
      <c r="C11" s="88">
        <v>0</v>
      </c>
      <c r="D11" s="89">
        <v>0</v>
      </c>
      <c r="E11" s="90">
        <v>1000</v>
      </c>
      <c r="F11" s="87"/>
      <c r="G11" s="106"/>
      <c r="H11" s="107"/>
      <c r="I11" s="108"/>
      <c r="J11" s="106"/>
      <c r="K11" s="107"/>
      <c r="L11" s="87"/>
      <c r="M11" s="109"/>
      <c r="N11" s="84">
        <f t="shared" si="1"/>
        <v>0</v>
      </c>
      <c r="O11" s="84">
        <v>14.51</v>
      </c>
      <c r="P11" s="84">
        <v>89.83</v>
      </c>
      <c r="Q11" s="84">
        <f t="shared" si="2"/>
        <v>104.34</v>
      </c>
      <c r="R11" s="84">
        <f t="shared" si="0"/>
        <v>104.34</v>
      </c>
      <c r="S11" s="85" t="s">
        <v>205</v>
      </c>
      <c r="T11" s="86"/>
      <c r="U11" s="86"/>
      <c r="V11" s="86"/>
      <c r="W11" s="86"/>
    </row>
    <row r="12" spans="1:23" s="16" customFormat="1">
      <c r="A12" s="92" t="s">
        <v>110</v>
      </c>
      <c r="B12" s="87"/>
      <c r="C12" s="88">
        <v>0</v>
      </c>
      <c r="D12" s="89">
        <v>5</v>
      </c>
      <c r="E12" s="90">
        <v>1000</v>
      </c>
      <c r="F12" s="87"/>
      <c r="G12" s="106"/>
      <c r="H12" s="107"/>
      <c r="I12" s="108"/>
      <c r="J12" s="106"/>
      <c r="K12" s="107"/>
      <c r="L12" s="87"/>
      <c r="M12" s="109"/>
      <c r="N12" s="84">
        <f t="shared" si="1"/>
        <v>65</v>
      </c>
      <c r="O12" s="84">
        <v>14.51</v>
      </c>
      <c r="P12" s="84">
        <v>89.83</v>
      </c>
      <c r="Q12" s="84">
        <f t="shared" si="2"/>
        <v>104.34</v>
      </c>
      <c r="R12" s="84">
        <f t="shared" si="0"/>
        <v>169.34</v>
      </c>
      <c r="S12" s="91" t="s">
        <v>171</v>
      </c>
      <c r="T12" s="86"/>
      <c r="U12" s="86"/>
      <c r="V12" s="86"/>
      <c r="W12" s="86"/>
    </row>
    <row r="13" spans="1:23" s="16" customFormat="1" ht="28.5">
      <c r="A13" s="92" t="s">
        <v>157</v>
      </c>
      <c r="B13" s="87"/>
      <c r="C13" s="88">
        <f>45-14.52</f>
        <v>30.48</v>
      </c>
      <c r="D13" s="89">
        <f>9.5-6.91</f>
        <v>2.59</v>
      </c>
      <c r="E13" s="90">
        <v>1000</v>
      </c>
      <c r="F13" s="87"/>
      <c r="G13" s="106"/>
      <c r="H13" s="107"/>
      <c r="I13" s="108"/>
      <c r="J13" s="106"/>
      <c r="K13" s="107"/>
      <c r="L13" s="87"/>
      <c r="M13" s="109"/>
      <c r="N13" s="84">
        <f t="shared" si="1"/>
        <v>64.150000000000006</v>
      </c>
      <c r="O13" s="84">
        <v>14.51</v>
      </c>
      <c r="P13" s="84">
        <v>89.83</v>
      </c>
      <c r="Q13" s="84">
        <f t="shared" si="2"/>
        <v>104.34</v>
      </c>
      <c r="R13" s="84">
        <f t="shared" si="0"/>
        <v>168.49</v>
      </c>
      <c r="S13" s="85" t="s">
        <v>158</v>
      </c>
      <c r="T13" s="86"/>
      <c r="U13" s="86"/>
      <c r="V13" s="86"/>
      <c r="W13" s="86"/>
    </row>
    <row r="14" spans="1:23" s="16" customFormat="1" ht="28.5">
      <c r="A14" s="92" t="s">
        <v>51</v>
      </c>
      <c r="B14" s="87"/>
      <c r="C14" s="88">
        <f>15.07-13.07</f>
        <v>2</v>
      </c>
      <c r="D14" s="89">
        <f>11.58-6.23</f>
        <v>5.35</v>
      </c>
      <c r="E14" s="90">
        <v>1000</v>
      </c>
      <c r="F14" s="87" t="s">
        <v>23</v>
      </c>
      <c r="G14" s="106" t="s">
        <v>23</v>
      </c>
      <c r="H14" s="107"/>
      <c r="I14" s="108"/>
      <c r="J14" s="106"/>
      <c r="K14" s="107"/>
      <c r="L14" s="87"/>
      <c r="M14" s="109"/>
      <c r="N14" s="84">
        <f t="shared" si="1"/>
        <v>71.55</v>
      </c>
      <c r="O14" s="84">
        <v>14.51</v>
      </c>
      <c r="P14" s="84">
        <v>89.83</v>
      </c>
      <c r="Q14" s="84">
        <f t="shared" si="2"/>
        <v>104.34</v>
      </c>
      <c r="R14" s="84">
        <f t="shared" si="0"/>
        <v>175.89</v>
      </c>
      <c r="S14" s="85" t="s">
        <v>162</v>
      </c>
      <c r="T14" s="86"/>
      <c r="U14" s="86"/>
      <c r="V14" s="86"/>
      <c r="W14" s="86"/>
    </row>
    <row r="15" spans="1:23" s="16" customFormat="1" ht="28.5">
      <c r="A15" s="92" t="s">
        <v>90</v>
      </c>
      <c r="B15" s="87"/>
      <c r="C15" s="88">
        <v>23.25</v>
      </c>
      <c r="D15" s="89">
        <v>3.5</v>
      </c>
      <c r="E15" s="90">
        <v>1000</v>
      </c>
      <c r="F15" s="87"/>
      <c r="G15" s="106"/>
      <c r="H15" s="107"/>
      <c r="I15" s="108"/>
      <c r="J15" s="106"/>
      <c r="K15" s="107"/>
      <c r="L15" s="87"/>
      <c r="M15" s="109"/>
      <c r="N15" s="84">
        <f t="shared" si="1"/>
        <v>68.75</v>
      </c>
      <c r="O15" s="84">
        <v>14.51</v>
      </c>
      <c r="P15" s="84">
        <v>89.83</v>
      </c>
      <c r="Q15" s="84">
        <f t="shared" si="2"/>
        <v>104.34</v>
      </c>
      <c r="R15" s="84">
        <f t="shared" si="0"/>
        <v>173.09</v>
      </c>
      <c r="S15" s="85" t="s">
        <v>186</v>
      </c>
      <c r="T15" s="86"/>
      <c r="U15" s="86"/>
      <c r="V15" s="86"/>
      <c r="W15" s="86"/>
    </row>
    <row r="16" spans="1:23" s="16" customFormat="1">
      <c r="A16" s="92" t="s">
        <v>104</v>
      </c>
      <c r="B16" s="87"/>
      <c r="C16" s="88">
        <f>24.07-14.51</f>
        <v>9.56</v>
      </c>
      <c r="D16" s="89">
        <v>4.66</v>
      </c>
      <c r="E16" s="90">
        <v>1000</v>
      </c>
      <c r="F16" s="87" t="s">
        <v>23</v>
      </c>
      <c r="G16" s="110" t="s">
        <v>23</v>
      </c>
      <c r="H16" s="111" t="s">
        <v>23</v>
      </c>
      <c r="I16" s="108" t="s">
        <v>23</v>
      </c>
      <c r="J16" s="110" t="s">
        <v>23</v>
      </c>
      <c r="K16" s="111" t="s">
        <v>23</v>
      </c>
      <c r="L16" s="87" t="s">
        <v>23</v>
      </c>
      <c r="M16" s="112" t="s">
        <v>23</v>
      </c>
      <c r="N16" s="84">
        <f t="shared" si="1"/>
        <v>70.14</v>
      </c>
      <c r="O16" s="84">
        <v>14.51</v>
      </c>
      <c r="P16" s="84">
        <v>89.83</v>
      </c>
      <c r="Q16" s="84">
        <f t="shared" si="2"/>
        <v>104.34</v>
      </c>
      <c r="R16" s="84">
        <f t="shared" si="0"/>
        <v>174.48000000000002</v>
      </c>
      <c r="S16" s="85" t="s">
        <v>145</v>
      </c>
      <c r="T16" s="86"/>
      <c r="U16" s="86"/>
      <c r="V16" s="86"/>
      <c r="W16" s="86"/>
    </row>
    <row r="17" spans="1:23" s="16" customFormat="1" ht="57">
      <c r="A17" s="92" t="s">
        <v>59</v>
      </c>
      <c r="B17" s="87"/>
      <c r="C17" s="89">
        <f>(21.25-11.78)+63</f>
        <v>72.47</v>
      </c>
      <c r="D17" s="84">
        <f>6.15-5.78</f>
        <v>0.37000000000000011</v>
      </c>
      <c r="E17" s="90">
        <v>1000</v>
      </c>
      <c r="F17" s="87"/>
      <c r="G17" s="106"/>
      <c r="H17" s="107"/>
      <c r="I17" s="108"/>
      <c r="J17" s="106"/>
      <c r="K17" s="107"/>
      <c r="L17" s="87"/>
      <c r="M17" s="109"/>
      <c r="N17" s="84">
        <f t="shared" si="1"/>
        <v>77.28</v>
      </c>
      <c r="O17" s="84">
        <v>14.51</v>
      </c>
      <c r="P17" s="84">
        <v>89.83</v>
      </c>
      <c r="Q17" s="84">
        <f t="shared" si="2"/>
        <v>104.34</v>
      </c>
      <c r="R17" s="84">
        <f t="shared" si="0"/>
        <v>181.62</v>
      </c>
      <c r="S17" s="85" t="s">
        <v>105</v>
      </c>
      <c r="T17" s="86"/>
      <c r="U17" s="86"/>
      <c r="V17" s="86"/>
      <c r="W17" s="86"/>
    </row>
    <row r="18" spans="1:23" s="16" customFormat="1" ht="57">
      <c r="A18" s="92" t="s">
        <v>58</v>
      </c>
      <c r="B18" s="87"/>
      <c r="C18" s="89">
        <f>(21.25-11.78)+27</f>
        <v>36.47</v>
      </c>
      <c r="D18" s="84">
        <f>6.15-5.78</f>
        <v>0.37000000000000011</v>
      </c>
      <c r="E18" s="90">
        <v>1000</v>
      </c>
      <c r="F18" s="87"/>
      <c r="G18" s="106"/>
      <c r="H18" s="107"/>
      <c r="I18" s="108"/>
      <c r="J18" s="106"/>
      <c r="K18" s="107"/>
      <c r="L18" s="87"/>
      <c r="M18" s="109"/>
      <c r="N18" s="84">
        <f t="shared" si="1"/>
        <v>41.28</v>
      </c>
      <c r="O18" s="84">
        <v>14.51</v>
      </c>
      <c r="P18" s="84">
        <v>89.83</v>
      </c>
      <c r="Q18" s="84">
        <f t="shared" si="2"/>
        <v>104.34</v>
      </c>
      <c r="R18" s="84">
        <f t="shared" si="0"/>
        <v>145.62</v>
      </c>
      <c r="S18" s="85" t="s">
        <v>106</v>
      </c>
      <c r="T18" s="86"/>
      <c r="U18" s="86"/>
      <c r="V18" s="86"/>
      <c r="W18" s="86"/>
    </row>
    <row r="19" spans="1:23" s="16" customFormat="1">
      <c r="A19" s="92" t="s">
        <v>45</v>
      </c>
      <c r="B19" s="113"/>
      <c r="C19" s="114">
        <v>2.4</v>
      </c>
      <c r="D19" s="115">
        <v>13.5</v>
      </c>
      <c r="E19" s="116">
        <v>5000</v>
      </c>
      <c r="F19" s="113">
        <v>5</v>
      </c>
      <c r="G19" s="117">
        <v>5001</v>
      </c>
      <c r="H19" s="118"/>
      <c r="I19" s="119"/>
      <c r="J19" s="117"/>
      <c r="K19" s="118"/>
      <c r="L19" s="113"/>
      <c r="M19" s="120"/>
      <c r="N19" s="84">
        <v>72.150000000000006</v>
      </c>
      <c r="O19" s="84">
        <v>14.51</v>
      </c>
      <c r="P19" s="84">
        <v>89.83</v>
      </c>
      <c r="Q19" s="84">
        <f t="shared" si="2"/>
        <v>104.34</v>
      </c>
      <c r="R19" s="84">
        <f t="shared" si="0"/>
        <v>176.49</v>
      </c>
      <c r="S19" s="85" t="s">
        <v>123</v>
      </c>
      <c r="T19" s="86"/>
      <c r="U19" s="86"/>
      <c r="V19" s="86"/>
      <c r="W19" s="86"/>
    </row>
    <row r="20" spans="1:23" s="16" customFormat="1">
      <c r="A20" s="92" t="s">
        <v>100</v>
      </c>
      <c r="B20" s="87"/>
      <c r="C20" s="89">
        <v>75</v>
      </c>
      <c r="D20" s="84">
        <v>1.25</v>
      </c>
      <c r="E20" s="90">
        <v>1000</v>
      </c>
      <c r="F20" s="87"/>
      <c r="G20" s="106"/>
      <c r="H20" s="121"/>
      <c r="I20" s="108"/>
      <c r="J20" s="106"/>
      <c r="K20" s="121"/>
      <c r="L20" s="87"/>
      <c r="M20" s="121"/>
      <c r="N20" s="84">
        <f t="shared" si="1"/>
        <v>91.25</v>
      </c>
      <c r="O20" s="84">
        <v>14.51</v>
      </c>
      <c r="P20" s="84">
        <v>89.83</v>
      </c>
      <c r="Q20" s="84">
        <f t="shared" si="2"/>
        <v>104.34</v>
      </c>
      <c r="R20" s="84">
        <f t="shared" si="0"/>
        <v>195.59</v>
      </c>
      <c r="S20" s="85" t="s">
        <v>174</v>
      </c>
      <c r="T20" s="86"/>
      <c r="U20" s="86"/>
      <c r="V20" s="86"/>
      <c r="W20" s="86"/>
    </row>
    <row r="21" spans="1:23" s="16" customFormat="1">
      <c r="A21" s="92" t="s">
        <v>101</v>
      </c>
      <c r="B21" s="87"/>
      <c r="C21" s="89">
        <v>50</v>
      </c>
      <c r="D21" s="84">
        <v>1.25</v>
      </c>
      <c r="E21" s="90">
        <v>1000</v>
      </c>
      <c r="F21" s="87"/>
      <c r="G21" s="106"/>
      <c r="H21" s="121"/>
      <c r="I21" s="108"/>
      <c r="J21" s="106"/>
      <c r="K21" s="121"/>
      <c r="L21" s="87"/>
      <c r="M21" s="121"/>
      <c r="N21" s="84">
        <f t="shared" si="1"/>
        <v>66.25</v>
      </c>
      <c r="O21" s="84">
        <v>14.51</v>
      </c>
      <c r="P21" s="84">
        <v>89.83</v>
      </c>
      <c r="Q21" s="84">
        <f t="shared" si="2"/>
        <v>104.34</v>
      </c>
      <c r="R21" s="84">
        <f t="shared" si="0"/>
        <v>170.59</v>
      </c>
      <c r="S21" s="85" t="s">
        <v>175</v>
      </c>
      <c r="T21" s="86"/>
      <c r="U21" s="86"/>
      <c r="V21" s="86"/>
      <c r="W21" s="86"/>
    </row>
    <row r="22" spans="1:23" s="16" customFormat="1">
      <c r="A22" s="92" t="s">
        <v>181</v>
      </c>
      <c r="B22" s="87"/>
      <c r="C22" s="89">
        <v>0</v>
      </c>
      <c r="D22" s="84">
        <v>1.25</v>
      </c>
      <c r="E22" s="90">
        <v>1000</v>
      </c>
      <c r="F22" s="87"/>
      <c r="G22" s="106"/>
      <c r="H22" s="121"/>
      <c r="I22" s="108"/>
      <c r="J22" s="106"/>
      <c r="K22" s="121"/>
      <c r="L22" s="87"/>
      <c r="M22" s="121"/>
      <c r="N22" s="84">
        <f t="shared" si="1"/>
        <v>16.25</v>
      </c>
      <c r="O22" s="84">
        <v>14.51</v>
      </c>
      <c r="P22" s="84">
        <v>89.83</v>
      </c>
      <c r="Q22" s="84">
        <f t="shared" si="2"/>
        <v>104.34</v>
      </c>
      <c r="R22" s="84">
        <f t="shared" si="0"/>
        <v>120.59</v>
      </c>
      <c r="S22" s="85" t="s">
        <v>180</v>
      </c>
      <c r="T22" s="86"/>
      <c r="U22" s="86"/>
      <c r="V22" s="86"/>
      <c r="W22" s="86"/>
    </row>
    <row r="23" spans="1:23" s="16" customFormat="1">
      <c r="A23" s="92" t="s">
        <v>102</v>
      </c>
      <c r="B23" s="87"/>
      <c r="C23" s="89">
        <v>0</v>
      </c>
      <c r="D23" s="84">
        <v>1.25</v>
      </c>
      <c r="E23" s="90">
        <v>1000</v>
      </c>
      <c r="F23" s="87"/>
      <c r="G23" s="106"/>
      <c r="H23" s="121"/>
      <c r="I23" s="108"/>
      <c r="J23" s="106"/>
      <c r="K23" s="121"/>
      <c r="L23" s="87"/>
      <c r="M23" s="121"/>
      <c r="N23" s="84">
        <f t="shared" si="1"/>
        <v>16.25</v>
      </c>
      <c r="O23" s="84">
        <v>14.51</v>
      </c>
      <c r="P23" s="84">
        <v>89.83</v>
      </c>
      <c r="Q23" s="84">
        <f>O23+P23</f>
        <v>104.34</v>
      </c>
      <c r="R23" s="84">
        <f t="shared" si="0"/>
        <v>120.59</v>
      </c>
      <c r="S23" s="85" t="s">
        <v>174</v>
      </c>
      <c r="T23" s="86"/>
      <c r="U23" s="86"/>
      <c r="V23" s="86"/>
      <c r="W23" s="86"/>
    </row>
    <row r="24" spans="1:23" s="16" customFormat="1" ht="29.25">
      <c r="A24" s="92" t="s">
        <v>94</v>
      </c>
      <c r="B24" s="87"/>
      <c r="C24" s="88">
        <v>2.1</v>
      </c>
      <c r="D24" s="89">
        <v>4</v>
      </c>
      <c r="E24" s="90">
        <v>1000</v>
      </c>
      <c r="F24" s="87"/>
      <c r="G24" s="93"/>
      <c r="H24" s="94"/>
      <c r="I24" s="95"/>
      <c r="J24" s="93"/>
      <c r="K24" s="94"/>
      <c r="L24" s="95"/>
      <c r="M24" s="94"/>
      <c r="N24" s="84">
        <f t="shared" si="1"/>
        <v>54.1</v>
      </c>
      <c r="O24" s="84">
        <v>14.51</v>
      </c>
      <c r="P24" s="84">
        <v>89.83</v>
      </c>
      <c r="Q24" s="84">
        <f t="shared" si="2"/>
        <v>104.34</v>
      </c>
      <c r="R24" s="84">
        <f t="shared" si="0"/>
        <v>158.44</v>
      </c>
      <c r="S24" s="91" t="s">
        <v>125</v>
      </c>
      <c r="T24" s="86"/>
      <c r="U24" s="86"/>
      <c r="V24" s="86"/>
      <c r="W24" s="86"/>
    </row>
    <row r="25" spans="1:23" s="16" customFormat="1" ht="28.5">
      <c r="A25" s="92" t="s">
        <v>57</v>
      </c>
      <c r="B25" s="87"/>
      <c r="C25" s="89">
        <f>21.25-14.52</f>
        <v>6.73</v>
      </c>
      <c r="D25" s="84">
        <f>6.9-6.91</f>
        <v>-9.9999999999997868E-3</v>
      </c>
      <c r="E25" s="90">
        <v>1000</v>
      </c>
      <c r="F25" s="87"/>
      <c r="G25" s="93"/>
      <c r="H25" s="94"/>
      <c r="I25" s="95"/>
      <c r="J25" s="93"/>
      <c r="K25" s="94"/>
      <c r="L25" s="95"/>
      <c r="M25" s="94"/>
      <c r="N25" s="84">
        <f t="shared" si="1"/>
        <v>6.6000000000000032</v>
      </c>
      <c r="O25" s="84">
        <v>14.51</v>
      </c>
      <c r="P25" s="84">
        <v>89.83</v>
      </c>
      <c r="Q25" s="84">
        <f t="shared" si="2"/>
        <v>104.34</v>
      </c>
      <c r="R25" s="84">
        <f t="shared" si="0"/>
        <v>110.94000000000001</v>
      </c>
      <c r="S25" s="85" t="s">
        <v>131</v>
      </c>
      <c r="T25" s="86"/>
      <c r="U25" s="86"/>
      <c r="V25" s="86"/>
      <c r="W25" s="86"/>
    </row>
    <row r="26" spans="1:23" s="16" customFormat="1">
      <c r="A26" s="92" t="s">
        <v>46</v>
      </c>
      <c r="B26" s="87">
        <v>0.8</v>
      </c>
      <c r="C26" s="114">
        <v>1.25</v>
      </c>
      <c r="D26" s="115">
        <v>13.5</v>
      </c>
      <c r="E26" s="116">
        <v>5000</v>
      </c>
      <c r="F26" s="113">
        <v>5</v>
      </c>
      <c r="G26" s="117">
        <v>5001</v>
      </c>
      <c r="H26" s="94"/>
      <c r="I26" s="95"/>
      <c r="J26" s="93"/>
      <c r="K26" s="94"/>
      <c r="L26" s="95"/>
      <c r="M26" s="94"/>
      <c r="N26" s="84">
        <f>(B26*3)+D26+(F26*7)+(C26*13)</f>
        <v>67.150000000000006</v>
      </c>
      <c r="O26" s="84">
        <v>14.51</v>
      </c>
      <c r="P26" s="84">
        <v>89.83</v>
      </c>
      <c r="Q26" s="84">
        <f t="shared" si="2"/>
        <v>104.34</v>
      </c>
      <c r="R26" s="84">
        <f>N26+Q26</f>
        <v>171.49</v>
      </c>
      <c r="S26" s="85" t="s">
        <v>141</v>
      </c>
      <c r="T26" s="86"/>
      <c r="U26" s="86"/>
      <c r="V26" s="86"/>
      <c r="W26" s="86"/>
    </row>
    <row r="27" spans="1:23" s="16" customFormat="1">
      <c r="A27" s="72" t="s">
        <v>67</v>
      </c>
      <c r="B27" s="87"/>
      <c r="C27" s="89"/>
      <c r="D27" s="84">
        <v>17.3</v>
      </c>
      <c r="E27" s="90">
        <v>1000</v>
      </c>
      <c r="F27" s="87"/>
      <c r="G27" s="93"/>
      <c r="H27" s="94"/>
      <c r="I27" s="95"/>
      <c r="J27" s="93"/>
      <c r="K27" s="94"/>
      <c r="L27" s="95"/>
      <c r="M27" s="94"/>
      <c r="N27" s="84">
        <f>(C27)+(D27*13)</f>
        <v>224.9</v>
      </c>
      <c r="O27" s="84">
        <v>14.51</v>
      </c>
      <c r="P27" s="84">
        <v>89.83</v>
      </c>
      <c r="Q27" s="84">
        <f t="shared" si="2"/>
        <v>104.34</v>
      </c>
      <c r="R27" s="84">
        <f t="shared" si="0"/>
        <v>329.24</v>
      </c>
      <c r="S27" s="85" t="s">
        <v>112</v>
      </c>
      <c r="T27" s="86"/>
      <c r="U27" s="86"/>
      <c r="V27" s="86"/>
      <c r="W27" s="86"/>
    </row>
    <row r="28" spans="1:23" s="16" customFormat="1">
      <c r="A28" s="92" t="s">
        <v>103</v>
      </c>
      <c r="B28" s="87"/>
      <c r="C28" s="89">
        <v>5.65</v>
      </c>
      <c r="D28" s="84">
        <v>2.25</v>
      </c>
      <c r="E28" s="90">
        <v>1000</v>
      </c>
      <c r="F28" s="87"/>
      <c r="G28" s="93"/>
      <c r="H28" s="94"/>
      <c r="I28" s="95"/>
      <c r="J28" s="93"/>
      <c r="K28" s="94"/>
      <c r="L28" s="95"/>
      <c r="M28" s="94"/>
      <c r="N28" s="84">
        <f t="shared" si="1"/>
        <v>34.9</v>
      </c>
      <c r="O28" s="84">
        <v>14.51</v>
      </c>
      <c r="P28" s="84">
        <v>89.83</v>
      </c>
      <c r="Q28" s="84">
        <f t="shared" si="2"/>
        <v>104.34</v>
      </c>
      <c r="R28" s="84">
        <f t="shared" si="0"/>
        <v>139.24</v>
      </c>
      <c r="S28" s="85" t="s">
        <v>146</v>
      </c>
      <c r="T28" s="86"/>
      <c r="U28" s="86"/>
      <c r="V28" s="86"/>
      <c r="W28" s="86"/>
    </row>
    <row r="29" spans="1:23" s="16" customFormat="1" ht="29.25" thickBot="1">
      <c r="A29" s="92" t="s">
        <v>88</v>
      </c>
      <c r="B29" s="87"/>
      <c r="C29" s="89">
        <v>0</v>
      </c>
      <c r="D29" s="84">
        <v>56.52</v>
      </c>
      <c r="E29" s="90">
        <v>10000</v>
      </c>
      <c r="F29" s="87">
        <f>8.74-6.91</f>
        <v>1.83</v>
      </c>
      <c r="G29" s="93">
        <v>10001</v>
      </c>
      <c r="H29" s="94"/>
      <c r="I29" s="87"/>
      <c r="J29" s="93"/>
      <c r="K29" s="94"/>
      <c r="L29" s="95"/>
      <c r="M29" s="93"/>
      <c r="N29" s="84">
        <f>(D29)+(F29*3)</f>
        <v>62.010000000000005</v>
      </c>
      <c r="O29" s="84">
        <v>14.51</v>
      </c>
      <c r="P29" s="84">
        <v>89.83</v>
      </c>
      <c r="Q29" s="84">
        <f t="shared" si="2"/>
        <v>104.34</v>
      </c>
      <c r="R29" s="84">
        <f t="shared" si="0"/>
        <v>166.35000000000002</v>
      </c>
      <c r="S29" s="85" t="s">
        <v>136</v>
      </c>
      <c r="T29" s="86"/>
      <c r="U29" s="86"/>
      <c r="V29" s="86"/>
      <c r="W29" s="86"/>
    </row>
    <row r="30" spans="1:23" s="16" customFormat="1">
      <c r="A30" s="92" t="s">
        <v>27</v>
      </c>
      <c r="B30" s="87">
        <v>0</v>
      </c>
      <c r="C30" s="89"/>
      <c r="D30" s="84">
        <v>6.9</v>
      </c>
      <c r="E30" s="122">
        <v>1000</v>
      </c>
      <c r="F30" s="87"/>
      <c r="G30" s="93"/>
      <c r="H30" s="94"/>
      <c r="I30" s="95"/>
      <c r="J30" s="93"/>
      <c r="K30" s="94"/>
      <c r="L30" s="95"/>
      <c r="M30" s="94"/>
      <c r="N30" s="84">
        <f t="shared" ref="N30" si="3">(B30*3)+(D30*13)</f>
        <v>89.7</v>
      </c>
      <c r="O30" s="84">
        <v>14.51</v>
      </c>
      <c r="P30" s="84">
        <v>89.83</v>
      </c>
      <c r="Q30" s="84">
        <f t="shared" si="2"/>
        <v>104.34</v>
      </c>
      <c r="R30" s="84">
        <f t="shared" si="0"/>
        <v>194.04000000000002</v>
      </c>
      <c r="S30" s="91" t="s">
        <v>212</v>
      </c>
      <c r="T30" s="86"/>
      <c r="U30" s="86"/>
      <c r="V30" s="86"/>
      <c r="W30" s="86"/>
    </row>
    <row r="31" spans="1:23" s="16" customFormat="1" ht="28.5">
      <c r="A31" s="92" t="s">
        <v>49</v>
      </c>
      <c r="B31" s="87"/>
      <c r="C31" s="89">
        <f>8.76-6.91</f>
        <v>1.8499999999999996</v>
      </c>
      <c r="D31" s="84">
        <v>88.36</v>
      </c>
      <c r="E31" s="90">
        <v>4000</v>
      </c>
      <c r="F31" s="87">
        <f>7.9-6.23</f>
        <v>1.67</v>
      </c>
      <c r="G31" s="93">
        <v>4001</v>
      </c>
      <c r="H31" s="94"/>
      <c r="I31" s="95"/>
      <c r="J31" s="93"/>
      <c r="K31" s="94"/>
      <c r="L31" s="95"/>
      <c r="M31" s="94"/>
      <c r="N31" s="84">
        <f>(C31)+(D31)+(F31*9)</f>
        <v>105.24</v>
      </c>
      <c r="O31" s="84">
        <v>14.51</v>
      </c>
      <c r="P31" s="84">
        <v>89.83</v>
      </c>
      <c r="Q31" s="84">
        <f t="shared" si="2"/>
        <v>104.34</v>
      </c>
      <c r="R31" s="84">
        <f t="shared" si="0"/>
        <v>209.57999999999998</v>
      </c>
      <c r="S31" s="85" t="s">
        <v>165</v>
      </c>
      <c r="T31" s="86"/>
      <c r="U31" s="86"/>
      <c r="V31" s="86"/>
      <c r="W31" s="86"/>
    </row>
    <row r="32" spans="1:23" s="16" customFormat="1" ht="28.5">
      <c r="A32" s="92" t="s">
        <v>50</v>
      </c>
      <c r="B32" s="87"/>
      <c r="C32" s="89">
        <f>8.76-6.91+3.5</f>
        <v>5.35</v>
      </c>
      <c r="D32" s="84">
        <v>99.36</v>
      </c>
      <c r="E32" s="90">
        <v>4000</v>
      </c>
      <c r="F32" s="87">
        <f>7.9-6.23</f>
        <v>1.67</v>
      </c>
      <c r="G32" s="93">
        <v>4001</v>
      </c>
      <c r="H32" s="94"/>
      <c r="I32" s="95"/>
      <c r="J32" s="93"/>
      <c r="K32" s="94"/>
      <c r="L32" s="95"/>
      <c r="M32" s="94"/>
      <c r="N32" s="84">
        <f>(C32)+(D32)+(F32*9)</f>
        <v>119.74</v>
      </c>
      <c r="O32" s="84">
        <v>14.51</v>
      </c>
      <c r="P32" s="84">
        <v>89.83</v>
      </c>
      <c r="Q32" s="84">
        <f t="shared" si="2"/>
        <v>104.34</v>
      </c>
      <c r="R32" s="84">
        <f t="shared" si="0"/>
        <v>224.07999999999998</v>
      </c>
      <c r="S32" s="85" t="s">
        <v>166</v>
      </c>
      <c r="T32" s="86"/>
      <c r="U32" s="86"/>
      <c r="V32" s="86"/>
      <c r="W32" s="86"/>
    </row>
    <row r="33" spans="1:23" s="16" customFormat="1">
      <c r="A33" s="92" t="s">
        <v>124</v>
      </c>
      <c r="B33" s="87"/>
      <c r="C33" s="89">
        <v>4.5</v>
      </c>
      <c r="D33" s="84">
        <v>4.5</v>
      </c>
      <c r="E33" s="90">
        <v>1000</v>
      </c>
      <c r="F33" s="87"/>
      <c r="G33" s="93"/>
      <c r="H33" s="94"/>
      <c r="I33" s="95"/>
      <c r="J33" s="93"/>
      <c r="K33" s="94"/>
      <c r="L33" s="95"/>
      <c r="M33" s="94"/>
      <c r="N33" s="84">
        <f t="shared" si="1"/>
        <v>63</v>
      </c>
      <c r="O33" s="84">
        <v>14.51</v>
      </c>
      <c r="P33" s="84">
        <v>89.83</v>
      </c>
      <c r="Q33" s="84">
        <f t="shared" si="2"/>
        <v>104.34</v>
      </c>
      <c r="R33" s="84">
        <f t="shared" si="0"/>
        <v>167.34</v>
      </c>
      <c r="S33" s="91" t="s">
        <v>197</v>
      </c>
      <c r="T33" s="86"/>
      <c r="U33" s="86"/>
      <c r="V33" s="86"/>
      <c r="W33" s="86"/>
    </row>
    <row r="34" spans="1:23" s="16" customFormat="1" ht="28.5">
      <c r="A34" s="92" t="s">
        <v>83</v>
      </c>
      <c r="B34" s="87"/>
      <c r="C34" s="89">
        <v>9.48</v>
      </c>
      <c r="D34" s="84">
        <v>2</v>
      </c>
      <c r="E34" s="90">
        <v>1000</v>
      </c>
      <c r="F34" s="87" t="s">
        <v>23</v>
      </c>
      <c r="G34" s="93" t="s">
        <v>23</v>
      </c>
      <c r="H34" s="94"/>
      <c r="I34" s="95"/>
      <c r="J34" s="93"/>
      <c r="K34" s="94"/>
      <c r="L34" s="95"/>
      <c r="M34" s="94"/>
      <c r="N34" s="84">
        <f t="shared" si="1"/>
        <v>35.480000000000004</v>
      </c>
      <c r="O34" s="84">
        <v>14.51</v>
      </c>
      <c r="P34" s="84">
        <v>89.83</v>
      </c>
      <c r="Q34" s="84">
        <f t="shared" si="2"/>
        <v>104.34</v>
      </c>
      <c r="R34" s="84">
        <f t="shared" si="0"/>
        <v>139.82</v>
      </c>
      <c r="S34" s="85" t="s">
        <v>167</v>
      </c>
      <c r="T34" s="86"/>
      <c r="U34" s="86"/>
      <c r="V34" s="86"/>
      <c r="W34" s="86"/>
    </row>
    <row r="35" spans="1:23" s="16" customFormat="1" ht="28.5">
      <c r="A35" s="92" t="s">
        <v>84</v>
      </c>
      <c r="B35" s="87"/>
      <c r="C35" s="114">
        <v>12.75</v>
      </c>
      <c r="D35" s="115">
        <v>2.5</v>
      </c>
      <c r="E35" s="116">
        <v>3000</v>
      </c>
      <c r="F35" s="113">
        <v>2.5</v>
      </c>
      <c r="G35" s="117">
        <v>3001</v>
      </c>
      <c r="H35" s="94"/>
      <c r="I35" s="95"/>
      <c r="J35" s="93"/>
      <c r="K35" s="94"/>
      <c r="L35" s="95"/>
      <c r="M35" s="94"/>
      <c r="N35" s="84">
        <f>(D35)+(F35*10)</f>
        <v>27.5</v>
      </c>
      <c r="O35" s="84">
        <v>14.51</v>
      </c>
      <c r="P35" s="84">
        <v>89.83</v>
      </c>
      <c r="Q35" s="84">
        <f t="shared" si="2"/>
        <v>104.34</v>
      </c>
      <c r="R35" s="84">
        <f t="shared" si="0"/>
        <v>131.84</v>
      </c>
      <c r="S35" s="85" t="s">
        <v>168</v>
      </c>
      <c r="T35" s="86"/>
      <c r="U35" s="86"/>
      <c r="V35" s="86"/>
      <c r="W35" s="86"/>
    </row>
    <row r="36" spans="1:23" s="16" customFormat="1" ht="28.5">
      <c r="A36" s="92" t="s">
        <v>38</v>
      </c>
      <c r="B36" s="87"/>
      <c r="C36" s="89">
        <v>0</v>
      </c>
      <c r="D36" s="84">
        <f>31-(4*5.61)</f>
        <v>8.5599999999999987</v>
      </c>
      <c r="E36" s="90">
        <v>4000</v>
      </c>
      <c r="F36" s="87">
        <v>1.56</v>
      </c>
      <c r="G36" s="93">
        <v>4001</v>
      </c>
      <c r="H36" s="94"/>
      <c r="I36" s="95"/>
      <c r="J36" s="93"/>
      <c r="K36" s="94"/>
      <c r="L36" s="95"/>
      <c r="M36" s="94"/>
      <c r="N36" s="84">
        <f>(D36)+(F36*9)</f>
        <v>22.6</v>
      </c>
      <c r="O36" s="84">
        <v>14.51</v>
      </c>
      <c r="P36" s="84">
        <v>89.83</v>
      </c>
      <c r="Q36" s="84">
        <f t="shared" si="2"/>
        <v>104.34</v>
      </c>
      <c r="R36" s="84">
        <f t="shared" si="0"/>
        <v>126.94</v>
      </c>
      <c r="S36" s="85" t="s">
        <v>126</v>
      </c>
      <c r="T36" s="86"/>
      <c r="U36" s="86"/>
      <c r="V36" s="86"/>
      <c r="W36" s="86"/>
    </row>
    <row r="37" spans="1:23" s="16" customFormat="1" ht="15.75" thickBot="1">
      <c r="A37" s="123" t="s">
        <v>47</v>
      </c>
      <c r="B37" s="124"/>
      <c r="C37" s="125">
        <v>39.43</v>
      </c>
      <c r="D37" s="126">
        <v>3.99</v>
      </c>
      <c r="E37" s="127">
        <v>1000</v>
      </c>
      <c r="F37" s="124"/>
      <c r="G37" s="128"/>
      <c r="H37" s="129"/>
      <c r="I37" s="130"/>
      <c r="J37" s="128"/>
      <c r="K37" s="129"/>
      <c r="L37" s="130"/>
      <c r="M37" s="129"/>
      <c r="N37" s="84">
        <f t="shared" si="1"/>
        <v>91.300000000000011</v>
      </c>
      <c r="O37" s="84">
        <v>14.51</v>
      </c>
      <c r="P37" s="84">
        <v>89.83</v>
      </c>
      <c r="Q37" s="84">
        <f t="shared" si="2"/>
        <v>104.34</v>
      </c>
      <c r="R37" s="84">
        <f t="shared" si="0"/>
        <v>195.64000000000001</v>
      </c>
      <c r="S37" s="85" t="s">
        <v>213</v>
      </c>
      <c r="T37" s="86"/>
      <c r="U37" s="86"/>
      <c r="V37" s="86"/>
      <c r="W37" s="86"/>
    </row>
    <row r="38" spans="1:23" s="16" customFormat="1">
      <c r="O38" s="16" t="s">
        <v>23</v>
      </c>
      <c r="P38" s="16" t="s">
        <v>23</v>
      </c>
      <c r="S38" s="45"/>
    </row>
    <row r="39" spans="1:23" s="16" customFormat="1">
      <c r="A39" s="13" t="s">
        <v>30</v>
      </c>
      <c r="B39" s="14"/>
      <c r="S39" s="45"/>
    </row>
    <row r="40" spans="1:23" s="16" customFormat="1">
      <c r="B40" s="16" t="s">
        <v>39</v>
      </c>
      <c r="S40" s="45"/>
    </row>
    <row r="41" spans="1:23" s="16" customFormat="1">
      <c r="B41" s="16" t="s">
        <v>140</v>
      </c>
      <c r="S41" s="45"/>
    </row>
    <row r="42" spans="1:23" s="16" customFormat="1">
      <c r="B42" s="15" t="s">
        <v>219</v>
      </c>
      <c r="S42" s="45"/>
    </row>
    <row r="43" spans="1:23" s="16" customFormat="1">
      <c r="S43" s="45"/>
    </row>
  </sheetData>
  <sheetProtection formatCells="0" formatColumns="0" formatRows="0"/>
  <pageMargins left="0.7" right="0.7" top="0.75" bottom="0.75" header="0.3" footer="0.3"/>
  <pageSetup paperSize="17" scale="7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S50"/>
  <sheetViews>
    <sheetView topLeftCell="A4" zoomScaleNormal="100" workbookViewId="0">
      <selection activeCell="A4" sqref="A1:XFD1048576"/>
    </sheetView>
  </sheetViews>
  <sheetFormatPr defaultColWidth="9.140625" defaultRowHeight="15"/>
  <cols>
    <col min="1" max="1" width="19.42578125" style="15" bestFit="1" customWidth="1"/>
    <col min="2" max="2" width="9" style="15" customWidth="1"/>
    <col min="3" max="3" width="9.28515625" style="15" bestFit="1" customWidth="1"/>
    <col min="4" max="4" width="9" style="15" customWidth="1"/>
    <col min="5" max="5" width="7.28515625" style="15" customWidth="1"/>
    <col min="6" max="7" width="6.42578125" style="15" customWidth="1"/>
    <col min="8" max="8" width="7.140625" style="15" customWidth="1"/>
    <col min="9" max="9" width="6.42578125" style="15" customWidth="1"/>
    <col min="10" max="10" width="7.140625" style="15" bestFit="1" customWidth="1"/>
    <col min="11" max="11" width="7.140625" style="15" customWidth="1"/>
    <col min="12" max="13" width="6.42578125" style="15" customWidth="1"/>
    <col min="14" max="14" width="14.7109375" style="15" customWidth="1"/>
    <col min="15" max="15" width="10.85546875" style="15" bestFit="1" customWidth="1"/>
    <col min="16" max="16" width="16.5703125" style="15" bestFit="1" customWidth="1"/>
    <col min="17" max="17" width="10" style="15" bestFit="1" customWidth="1"/>
    <col min="18" max="18" width="11.5703125" style="15" bestFit="1" customWidth="1"/>
    <col min="19" max="19" width="79.42578125" style="15" customWidth="1"/>
    <col min="20" max="16384" width="9.140625" style="15"/>
  </cols>
  <sheetData>
    <row r="1" spans="1:19">
      <c r="B1" s="16">
        <v>2017</v>
      </c>
      <c r="C1" s="16" t="s">
        <v>33</v>
      </c>
      <c r="D1" s="16"/>
      <c r="E1" s="16"/>
      <c r="F1" s="16"/>
      <c r="S1" s="17"/>
    </row>
    <row r="2" spans="1:19">
      <c r="B2" s="16"/>
      <c r="C2" s="1" t="s">
        <v>40</v>
      </c>
      <c r="D2" s="16"/>
      <c r="E2" s="16"/>
      <c r="F2" s="16"/>
      <c r="S2" s="17"/>
    </row>
    <row r="3" spans="1:19">
      <c r="B3" s="2" t="s">
        <v>1</v>
      </c>
      <c r="S3" s="17"/>
    </row>
    <row r="4" spans="1:19">
      <c r="C4" s="2" t="s">
        <v>2</v>
      </c>
      <c r="D4" s="2"/>
      <c r="S4" s="17"/>
    </row>
    <row r="5" spans="1:19" ht="15.75" customHeight="1" thickBot="1">
      <c r="B5" s="15" t="s">
        <v>118</v>
      </c>
      <c r="C5" s="2"/>
      <c r="D5" s="2"/>
      <c r="S5" s="17"/>
    </row>
    <row r="6" spans="1:19" ht="15.75" thickBot="1">
      <c r="A6" s="18" t="s">
        <v>4</v>
      </c>
      <c r="B6" s="19" t="s">
        <v>5</v>
      </c>
      <c r="C6" s="19"/>
      <c r="D6" s="20" t="s">
        <v>35</v>
      </c>
      <c r="E6" s="21"/>
      <c r="F6" s="22"/>
      <c r="G6" s="23" t="s">
        <v>7</v>
      </c>
      <c r="H6" s="24"/>
      <c r="I6" s="22"/>
      <c r="J6" s="23" t="s">
        <v>8</v>
      </c>
      <c r="K6" s="24"/>
      <c r="L6" s="22" t="s">
        <v>9</v>
      </c>
      <c r="M6" s="25"/>
      <c r="N6" s="26" t="s">
        <v>36</v>
      </c>
      <c r="O6" s="3" t="s">
        <v>10</v>
      </c>
      <c r="P6" s="3" t="s">
        <v>11</v>
      </c>
      <c r="Q6" s="3" t="s">
        <v>12</v>
      </c>
      <c r="R6" s="3" t="s">
        <v>12</v>
      </c>
      <c r="S6" s="4" t="s">
        <v>3</v>
      </c>
    </row>
    <row r="7" spans="1:19" ht="15.75" thickBot="1">
      <c r="A7" s="27" t="s">
        <v>13</v>
      </c>
      <c r="B7" s="28" t="s">
        <v>14</v>
      </c>
      <c r="C7" s="29" t="s">
        <v>15</v>
      </c>
      <c r="D7" s="30" t="s">
        <v>16</v>
      </c>
      <c r="E7" s="27" t="s">
        <v>17</v>
      </c>
      <c r="F7" s="28" t="s">
        <v>16</v>
      </c>
      <c r="G7" s="31" t="s">
        <v>18</v>
      </c>
      <c r="H7" s="29" t="s">
        <v>19</v>
      </c>
      <c r="I7" s="28" t="s">
        <v>16</v>
      </c>
      <c r="J7" s="31" t="s">
        <v>18</v>
      </c>
      <c r="K7" s="29" t="s">
        <v>19</v>
      </c>
      <c r="L7" s="28" t="s">
        <v>16</v>
      </c>
      <c r="M7" s="32" t="s">
        <v>20</v>
      </c>
      <c r="N7" s="27" t="s">
        <v>119</v>
      </c>
      <c r="O7" s="5" t="s">
        <v>21</v>
      </c>
      <c r="P7" s="5" t="s">
        <v>120</v>
      </c>
      <c r="Q7" s="5" t="s">
        <v>10</v>
      </c>
      <c r="R7" s="5" t="s">
        <v>22</v>
      </c>
      <c r="S7" s="17"/>
    </row>
    <row r="8" spans="1:19" s="16" customFormat="1" ht="15.75" customHeight="1" thickBot="1">
      <c r="A8" s="131" t="s">
        <v>116</v>
      </c>
      <c r="B8" s="132">
        <f>6.75-4.84</f>
        <v>1.9100000000000001</v>
      </c>
      <c r="C8" s="133"/>
      <c r="D8" s="134">
        <f>11.52-6.91</f>
        <v>4.6099999999999994</v>
      </c>
      <c r="E8" s="70">
        <v>1000</v>
      </c>
      <c r="F8" s="135"/>
      <c r="G8" s="136"/>
      <c r="H8" s="137"/>
      <c r="I8" s="135"/>
      <c r="J8" s="136"/>
      <c r="K8" s="137"/>
      <c r="L8" s="132"/>
      <c r="M8" s="158"/>
      <c r="N8" s="71">
        <f>(B8*3)+(D8*13)</f>
        <v>65.66</v>
      </c>
      <c r="O8" s="71">
        <v>14.51</v>
      </c>
      <c r="P8" s="71">
        <f>6.91*13</f>
        <v>89.83</v>
      </c>
      <c r="Q8" s="71">
        <f>O8+P8</f>
        <v>104.34</v>
      </c>
      <c r="R8" s="71">
        <f>N8+Q8</f>
        <v>170</v>
      </c>
      <c r="S8" s="6" t="s">
        <v>144</v>
      </c>
    </row>
    <row r="9" spans="1:19" s="16" customFormat="1" ht="15.75" thickBot="1">
      <c r="A9" s="72" t="s">
        <v>99</v>
      </c>
      <c r="B9" s="73">
        <v>0</v>
      </c>
      <c r="C9" s="74"/>
      <c r="D9" s="75">
        <v>5.5</v>
      </c>
      <c r="E9" s="70">
        <v>1000</v>
      </c>
      <c r="F9" s="73"/>
      <c r="G9" s="76"/>
      <c r="H9" s="77"/>
      <c r="I9" s="78"/>
      <c r="J9" s="76"/>
      <c r="K9" s="77"/>
      <c r="L9" s="73"/>
      <c r="M9" s="79"/>
      <c r="N9" s="71">
        <f t="shared" ref="N9:N43" si="0">(B9*3)+(D9*13)</f>
        <v>71.5</v>
      </c>
      <c r="O9" s="71">
        <v>14.51</v>
      </c>
      <c r="P9" s="71">
        <f t="shared" ref="P9:P43" si="1">6.91*13</f>
        <v>89.83</v>
      </c>
      <c r="Q9" s="71">
        <f t="shared" ref="Q9:Q43" si="2">O9+P9</f>
        <v>104.34</v>
      </c>
      <c r="R9" s="71">
        <f t="shared" ref="R9:R43" si="3">N9+Q9</f>
        <v>175.84</v>
      </c>
      <c r="S9" s="6" t="s">
        <v>198</v>
      </c>
    </row>
    <row r="10" spans="1:19" s="16" customFormat="1" ht="27" thickBot="1">
      <c r="A10" s="72" t="s">
        <v>60</v>
      </c>
      <c r="B10" s="73">
        <f>13-4.36</f>
        <v>8.64</v>
      </c>
      <c r="C10" s="74" t="s">
        <v>23</v>
      </c>
      <c r="D10" s="75">
        <f>7.6-5.61</f>
        <v>1.9899999999999993</v>
      </c>
      <c r="E10" s="70">
        <v>1000</v>
      </c>
      <c r="F10" s="73"/>
      <c r="G10" s="76"/>
      <c r="H10" s="77"/>
      <c r="I10" s="78"/>
      <c r="J10" s="76"/>
      <c r="K10" s="77"/>
      <c r="L10" s="73"/>
      <c r="M10" s="79"/>
      <c r="N10" s="71">
        <f t="shared" si="0"/>
        <v>51.789999999999992</v>
      </c>
      <c r="O10" s="71">
        <v>14.51</v>
      </c>
      <c r="P10" s="71">
        <f t="shared" si="1"/>
        <v>89.83</v>
      </c>
      <c r="Q10" s="71">
        <f t="shared" si="2"/>
        <v>104.34</v>
      </c>
      <c r="R10" s="71">
        <f>N10+Q10</f>
        <v>156.13</v>
      </c>
      <c r="S10" s="6" t="s">
        <v>113</v>
      </c>
    </row>
    <row r="11" spans="1:19" s="16" customFormat="1" ht="27" thickBot="1">
      <c r="A11" s="72" t="s">
        <v>56</v>
      </c>
      <c r="B11" s="73">
        <f>15.2-4.84</f>
        <v>10.36</v>
      </c>
      <c r="C11" s="74"/>
      <c r="D11" s="75">
        <v>8.2899999999999991</v>
      </c>
      <c r="E11" s="70">
        <v>1000</v>
      </c>
      <c r="F11" s="73"/>
      <c r="G11" s="76"/>
      <c r="H11" s="77"/>
      <c r="I11" s="78"/>
      <c r="J11" s="76"/>
      <c r="K11" s="77"/>
      <c r="L11" s="73"/>
      <c r="M11" s="79"/>
      <c r="N11" s="71">
        <f t="shared" si="0"/>
        <v>138.84999999999997</v>
      </c>
      <c r="O11" s="71">
        <v>14.51</v>
      </c>
      <c r="P11" s="71">
        <f t="shared" si="1"/>
        <v>89.83</v>
      </c>
      <c r="Q11" s="71">
        <f t="shared" si="2"/>
        <v>104.34</v>
      </c>
      <c r="R11" s="71">
        <f t="shared" si="3"/>
        <v>243.18999999999997</v>
      </c>
      <c r="S11" s="6" t="s">
        <v>156</v>
      </c>
    </row>
    <row r="12" spans="1:19" s="16" customFormat="1" ht="15.75" thickBot="1">
      <c r="A12" s="72" t="s">
        <v>87</v>
      </c>
      <c r="B12" s="73">
        <v>0</v>
      </c>
      <c r="C12" s="74" t="s">
        <v>23</v>
      </c>
      <c r="D12" s="75">
        <v>6.23</v>
      </c>
      <c r="E12" s="70">
        <v>1000</v>
      </c>
      <c r="F12" s="73"/>
      <c r="G12" s="76"/>
      <c r="H12" s="77"/>
      <c r="I12" s="78"/>
      <c r="J12" s="76"/>
      <c r="K12" s="77"/>
      <c r="L12" s="73"/>
      <c r="M12" s="79"/>
      <c r="N12" s="71">
        <f t="shared" si="0"/>
        <v>80.990000000000009</v>
      </c>
      <c r="O12" s="71">
        <v>14.51</v>
      </c>
      <c r="P12" s="71">
        <f t="shared" si="1"/>
        <v>89.83</v>
      </c>
      <c r="Q12" s="71">
        <f t="shared" si="2"/>
        <v>104.34</v>
      </c>
      <c r="R12" s="71">
        <f t="shared" si="3"/>
        <v>185.33</v>
      </c>
      <c r="S12" s="6" t="s">
        <v>188</v>
      </c>
    </row>
    <row r="13" spans="1:19" s="16" customFormat="1" ht="15.75" thickBot="1">
      <c r="A13" s="72" t="s">
        <v>66</v>
      </c>
      <c r="B13" s="73">
        <f>4.84-4.84</f>
        <v>0</v>
      </c>
      <c r="C13" s="74"/>
      <c r="D13" s="75">
        <v>6.61</v>
      </c>
      <c r="E13" s="70">
        <v>1000</v>
      </c>
      <c r="F13" s="73"/>
      <c r="G13" s="76"/>
      <c r="H13" s="77"/>
      <c r="I13" s="78"/>
      <c r="J13" s="76"/>
      <c r="K13" s="77"/>
      <c r="L13" s="73"/>
      <c r="M13" s="79"/>
      <c r="N13" s="71">
        <f t="shared" si="0"/>
        <v>85.93</v>
      </c>
      <c r="O13" s="71">
        <v>14.51</v>
      </c>
      <c r="P13" s="71">
        <f t="shared" si="1"/>
        <v>89.83</v>
      </c>
      <c r="Q13" s="71">
        <f t="shared" si="2"/>
        <v>104.34</v>
      </c>
      <c r="R13" s="71">
        <f t="shared" si="3"/>
        <v>190.27</v>
      </c>
      <c r="S13" s="6" t="s">
        <v>147</v>
      </c>
    </row>
    <row r="14" spans="1:19" s="16" customFormat="1" ht="15.75" thickBot="1">
      <c r="A14" s="72" t="s">
        <v>122</v>
      </c>
      <c r="B14" s="73">
        <v>0</v>
      </c>
      <c r="C14" s="74" t="s">
        <v>23</v>
      </c>
      <c r="D14" s="75">
        <v>5.8</v>
      </c>
      <c r="E14" s="70">
        <v>1000</v>
      </c>
      <c r="F14" s="73"/>
      <c r="G14" s="76"/>
      <c r="H14" s="77"/>
      <c r="I14" s="78"/>
      <c r="J14" s="76"/>
      <c r="K14" s="77"/>
      <c r="L14" s="73"/>
      <c r="M14" s="79"/>
      <c r="N14" s="71">
        <f t="shared" si="0"/>
        <v>75.399999999999991</v>
      </c>
      <c r="O14" s="71">
        <v>14.51</v>
      </c>
      <c r="P14" s="71">
        <f t="shared" si="1"/>
        <v>89.83</v>
      </c>
      <c r="Q14" s="71">
        <f t="shared" si="2"/>
        <v>104.34</v>
      </c>
      <c r="R14" s="71">
        <f t="shared" si="3"/>
        <v>179.74</v>
      </c>
      <c r="S14" s="6" t="s">
        <v>200</v>
      </c>
    </row>
    <row r="15" spans="1:19" s="16" customFormat="1" ht="15.75" thickBot="1">
      <c r="A15" s="72" t="s">
        <v>86</v>
      </c>
      <c r="B15" s="73">
        <v>0</v>
      </c>
      <c r="C15" s="74">
        <v>6.2</v>
      </c>
      <c r="D15" s="75">
        <f>12.1-6.91</f>
        <v>5.1899999999999995</v>
      </c>
      <c r="E15" s="70">
        <v>1000</v>
      </c>
      <c r="F15" s="73"/>
      <c r="G15" s="76"/>
      <c r="H15" s="77"/>
      <c r="I15" s="78"/>
      <c r="J15" s="76"/>
      <c r="K15" s="77"/>
      <c r="L15" s="73"/>
      <c r="M15" s="79"/>
      <c r="N15" s="71">
        <f t="shared" si="0"/>
        <v>67.47</v>
      </c>
      <c r="O15" s="71">
        <v>14.51</v>
      </c>
      <c r="P15" s="71">
        <f t="shared" si="1"/>
        <v>89.83</v>
      </c>
      <c r="Q15" s="71">
        <f t="shared" si="2"/>
        <v>104.34</v>
      </c>
      <c r="R15" s="71">
        <f t="shared" si="3"/>
        <v>171.81</v>
      </c>
      <c r="S15" s="6" t="s">
        <v>142</v>
      </c>
    </row>
    <row r="16" spans="1:19" s="16" customFormat="1" ht="15.75" thickBot="1">
      <c r="A16" s="72" t="s">
        <v>79</v>
      </c>
      <c r="B16" s="73">
        <v>2.25</v>
      </c>
      <c r="C16" s="74" t="s">
        <v>23</v>
      </c>
      <c r="D16" s="75">
        <v>8.4</v>
      </c>
      <c r="E16" s="70">
        <v>1000</v>
      </c>
      <c r="F16" s="73"/>
      <c r="G16" s="76"/>
      <c r="H16" s="77"/>
      <c r="I16" s="78"/>
      <c r="J16" s="76"/>
      <c r="K16" s="77"/>
      <c r="L16" s="73"/>
      <c r="M16" s="79"/>
      <c r="N16" s="71">
        <f t="shared" si="0"/>
        <v>115.95</v>
      </c>
      <c r="O16" s="71">
        <v>14.51</v>
      </c>
      <c r="P16" s="71">
        <f t="shared" si="1"/>
        <v>89.83</v>
      </c>
      <c r="Q16" s="71">
        <f t="shared" si="2"/>
        <v>104.34</v>
      </c>
      <c r="R16" s="71">
        <f t="shared" si="3"/>
        <v>220.29000000000002</v>
      </c>
      <c r="S16" s="6" t="s">
        <v>135</v>
      </c>
    </row>
    <row r="17" spans="1:19" s="16" customFormat="1" ht="15.75" thickBot="1">
      <c r="A17" s="72" t="s">
        <v>68</v>
      </c>
      <c r="B17" s="73">
        <v>0</v>
      </c>
      <c r="C17" s="74" t="s">
        <v>23</v>
      </c>
      <c r="D17" s="75">
        <v>4.5</v>
      </c>
      <c r="E17" s="70">
        <v>1000</v>
      </c>
      <c r="F17" s="73"/>
      <c r="G17" s="76"/>
      <c r="H17" s="77"/>
      <c r="I17" s="78"/>
      <c r="J17" s="76"/>
      <c r="K17" s="77"/>
      <c r="L17" s="73"/>
      <c r="M17" s="79"/>
      <c r="N17" s="71">
        <f t="shared" si="0"/>
        <v>58.5</v>
      </c>
      <c r="O17" s="71">
        <v>14.51</v>
      </c>
      <c r="P17" s="71">
        <f t="shared" si="1"/>
        <v>89.83</v>
      </c>
      <c r="Q17" s="71">
        <f t="shared" si="2"/>
        <v>104.34</v>
      </c>
      <c r="R17" s="71">
        <f t="shared" si="3"/>
        <v>162.84</v>
      </c>
      <c r="S17" s="6" t="s">
        <v>204</v>
      </c>
    </row>
    <row r="18" spans="1:19" s="16" customFormat="1" ht="15.75" thickBot="1">
      <c r="A18" s="72" t="s">
        <v>85</v>
      </c>
      <c r="B18" s="73">
        <v>0</v>
      </c>
      <c r="C18" s="74" t="s">
        <v>23</v>
      </c>
      <c r="D18" s="75">
        <v>4.5</v>
      </c>
      <c r="E18" s="70">
        <v>1000</v>
      </c>
      <c r="F18" s="73"/>
      <c r="G18" s="76"/>
      <c r="H18" s="77"/>
      <c r="I18" s="78"/>
      <c r="J18" s="76"/>
      <c r="K18" s="77"/>
      <c r="L18" s="73"/>
      <c r="M18" s="79"/>
      <c r="N18" s="71">
        <f t="shared" si="0"/>
        <v>58.5</v>
      </c>
      <c r="O18" s="71">
        <v>14.51</v>
      </c>
      <c r="P18" s="71">
        <f t="shared" si="1"/>
        <v>89.83</v>
      </c>
      <c r="Q18" s="71">
        <f t="shared" si="2"/>
        <v>104.34</v>
      </c>
      <c r="R18" s="71">
        <f t="shared" si="3"/>
        <v>162.84</v>
      </c>
      <c r="S18" s="6" t="s">
        <v>115</v>
      </c>
    </row>
    <row r="19" spans="1:19" s="16" customFormat="1" ht="15.75" thickBot="1">
      <c r="A19" s="72" t="s">
        <v>159</v>
      </c>
      <c r="B19" s="73">
        <v>5.48</v>
      </c>
      <c r="C19" s="74"/>
      <c r="D19" s="75">
        <f>8.62</f>
        <v>8.6199999999999992</v>
      </c>
      <c r="E19" s="70">
        <v>1000</v>
      </c>
      <c r="F19" s="73"/>
      <c r="G19" s="76"/>
      <c r="H19" s="77"/>
      <c r="I19" s="78"/>
      <c r="J19" s="76"/>
      <c r="K19" s="77"/>
      <c r="L19" s="73"/>
      <c r="M19" s="79"/>
      <c r="N19" s="71">
        <f t="shared" si="0"/>
        <v>128.5</v>
      </c>
      <c r="O19" s="71">
        <v>14.51</v>
      </c>
      <c r="P19" s="71">
        <f t="shared" si="1"/>
        <v>89.83</v>
      </c>
      <c r="Q19" s="71">
        <f t="shared" si="2"/>
        <v>104.34</v>
      </c>
      <c r="R19" s="71">
        <f t="shared" si="3"/>
        <v>232.84</v>
      </c>
      <c r="S19" s="6" t="s">
        <v>160</v>
      </c>
    </row>
    <row r="20" spans="1:19" s="16" customFormat="1" ht="27" thickBot="1">
      <c r="A20" s="159" t="s">
        <v>69</v>
      </c>
      <c r="B20" s="143">
        <f>8.35-4.84</f>
        <v>3.51</v>
      </c>
      <c r="C20" s="144" t="s">
        <v>23</v>
      </c>
      <c r="D20" s="145">
        <f>9.79-6.91</f>
        <v>2.879999999999999</v>
      </c>
      <c r="E20" s="70">
        <v>1000</v>
      </c>
      <c r="F20" s="143"/>
      <c r="G20" s="147"/>
      <c r="H20" s="148"/>
      <c r="I20" s="149"/>
      <c r="J20" s="147"/>
      <c r="K20" s="148"/>
      <c r="L20" s="143"/>
      <c r="M20" s="160"/>
      <c r="N20" s="71">
        <f t="shared" si="0"/>
        <v>47.969999999999985</v>
      </c>
      <c r="O20" s="71">
        <v>14.51</v>
      </c>
      <c r="P20" s="71">
        <f t="shared" si="1"/>
        <v>89.83</v>
      </c>
      <c r="Q20" s="71">
        <f t="shared" si="2"/>
        <v>104.34</v>
      </c>
      <c r="R20" s="71">
        <f t="shared" si="3"/>
        <v>152.31</v>
      </c>
      <c r="S20" s="6" t="s">
        <v>172</v>
      </c>
    </row>
    <row r="21" spans="1:19" s="16" customFormat="1" ht="15.75" thickBot="1">
      <c r="A21" s="72" t="s">
        <v>77</v>
      </c>
      <c r="B21" s="73">
        <v>0.38</v>
      </c>
      <c r="C21" s="75"/>
      <c r="D21" s="71">
        <v>3.75</v>
      </c>
      <c r="E21" s="70">
        <v>1000</v>
      </c>
      <c r="F21" s="73"/>
      <c r="G21" s="76"/>
      <c r="H21" s="80"/>
      <c r="I21" s="78"/>
      <c r="J21" s="76"/>
      <c r="K21" s="80"/>
      <c r="L21" s="73"/>
      <c r="M21" s="80"/>
      <c r="N21" s="71">
        <f t="shared" si="0"/>
        <v>49.89</v>
      </c>
      <c r="O21" s="71">
        <v>14.51</v>
      </c>
      <c r="P21" s="71">
        <f t="shared" si="1"/>
        <v>89.83</v>
      </c>
      <c r="Q21" s="71">
        <f t="shared" si="2"/>
        <v>104.34</v>
      </c>
      <c r="R21" s="71">
        <f t="shared" si="3"/>
        <v>154.23000000000002</v>
      </c>
      <c r="S21" s="6" t="s">
        <v>127</v>
      </c>
    </row>
    <row r="22" spans="1:19" s="16" customFormat="1" ht="27" thickBot="1">
      <c r="A22" s="72" t="s">
        <v>61</v>
      </c>
      <c r="B22" s="73"/>
      <c r="C22" s="75"/>
      <c r="D22" s="71">
        <f>8-6.91</f>
        <v>1.0899999999999999</v>
      </c>
      <c r="E22" s="70">
        <v>1000</v>
      </c>
      <c r="F22" s="73"/>
      <c r="G22" s="81"/>
      <c r="H22" s="82"/>
      <c r="I22" s="83"/>
      <c r="J22" s="81"/>
      <c r="K22" s="82"/>
      <c r="L22" s="83"/>
      <c r="M22" s="82"/>
      <c r="N22" s="71">
        <f t="shared" si="0"/>
        <v>14.169999999999998</v>
      </c>
      <c r="O22" s="71">
        <v>14.51</v>
      </c>
      <c r="P22" s="71">
        <f t="shared" si="1"/>
        <v>89.83</v>
      </c>
      <c r="Q22" s="71">
        <f t="shared" si="2"/>
        <v>104.34</v>
      </c>
      <c r="R22" s="71">
        <f t="shared" si="3"/>
        <v>118.51</v>
      </c>
      <c r="S22" s="6" t="s">
        <v>152</v>
      </c>
    </row>
    <row r="23" spans="1:19" s="16" customFormat="1" ht="15.75" thickBot="1">
      <c r="A23" s="72" t="s">
        <v>108</v>
      </c>
      <c r="B23" s="73">
        <f>24.7-4.84</f>
        <v>19.86</v>
      </c>
      <c r="C23" s="75" t="s">
        <v>23</v>
      </c>
      <c r="D23" s="71">
        <f>9.46-6.91</f>
        <v>2.5500000000000007</v>
      </c>
      <c r="E23" s="70">
        <v>1000</v>
      </c>
      <c r="F23" s="73"/>
      <c r="G23" s="81"/>
      <c r="H23" s="82"/>
      <c r="I23" s="83"/>
      <c r="J23" s="81"/>
      <c r="K23" s="82"/>
      <c r="L23" s="83"/>
      <c r="M23" s="82"/>
      <c r="N23" s="71">
        <f t="shared" si="0"/>
        <v>92.73</v>
      </c>
      <c r="O23" s="71">
        <v>14.51</v>
      </c>
      <c r="P23" s="71">
        <f t="shared" si="1"/>
        <v>89.83</v>
      </c>
      <c r="Q23" s="71">
        <f t="shared" si="2"/>
        <v>104.34</v>
      </c>
      <c r="R23" s="71">
        <f t="shared" si="3"/>
        <v>197.07</v>
      </c>
      <c r="S23" s="6" t="s">
        <v>182</v>
      </c>
    </row>
    <row r="24" spans="1:19" s="16" customFormat="1" ht="15.75" thickBot="1">
      <c r="A24" s="72" t="s">
        <v>81</v>
      </c>
      <c r="B24" s="73">
        <v>1</v>
      </c>
      <c r="C24" s="75">
        <v>0</v>
      </c>
      <c r="D24" s="71">
        <f>10.55-6.23</f>
        <v>4.32</v>
      </c>
      <c r="E24" s="70">
        <v>1000</v>
      </c>
      <c r="F24" s="73"/>
      <c r="G24" s="81"/>
      <c r="H24" s="82"/>
      <c r="I24" s="83"/>
      <c r="J24" s="81"/>
      <c r="K24" s="82"/>
      <c r="L24" s="83"/>
      <c r="M24" s="82"/>
      <c r="N24" s="71">
        <f t="shared" si="0"/>
        <v>59.160000000000004</v>
      </c>
      <c r="O24" s="71">
        <v>14.51</v>
      </c>
      <c r="P24" s="71">
        <f t="shared" si="1"/>
        <v>89.83</v>
      </c>
      <c r="Q24" s="71">
        <f t="shared" si="2"/>
        <v>104.34</v>
      </c>
      <c r="R24" s="71">
        <f t="shared" si="3"/>
        <v>163.5</v>
      </c>
      <c r="S24" s="6" t="s">
        <v>211</v>
      </c>
    </row>
    <row r="25" spans="1:19" s="16" customFormat="1" ht="15.75" thickBot="1">
      <c r="A25" s="72" t="s">
        <v>43</v>
      </c>
      <c r="B25" s="73">
        <v>0</v>
      </c>
      <c r="C25" s="75" t="s">
        <v>23</v>
      </c>
      <c r="D25" s="71">
        <v>4.05</v>
      </c>
      <c r="E25" s="70">
        <v>1000</v>
      </c>
      <c r="F25" s="73"/>
      <c r="G25" s="81"/>
      <c r="H25" s="82"/>
      <c r="I25" s="83"/>
      <c r="J25" s="81"/>
      <c r="K25" s="82"/>
      <c r="L25" s="83"/>
      <c r="M25" s="82"/>
      <c r="N25" s="71">
        <f t="shared" si="0"/>
        <v>52.65</v>
      </c>
      <c r="O25" s="71">
        <v>14.51</v>
      </c>
      <c r="P25" s="71">
        <f t="shared" si="1"/>
        <v>89.83</v>
      </c>
      <c r="Q25" s="71">
        <f t="shared" si="2"/>
        <v>104.34</v>
      </c>
      <c r="R25" s="71">
        <f t="shared" si="3"/>
        <v>156.99</v>
      </c>
      <c r="S25" s="6" t="s">
        <v>133</v>
      </c>
    </row>
    <row r="26" spans="1:19" s="16" customFormat="1" ht="27" thickBot="1">
      <c r="A26" s="72" t="s">
        <v>114</v>
      </c>
      <c r="B26" s="73">
        <v>0</v>
      </c>
      <c r="C26" s="75" t="s">
        <v>23</v>
      </c>
      <c r="D26" s="71">
        <v>7.12</v>
      </c>
      <c r="E26" s="70">
        <v>1000</v>
      </c>
      <c r="F26" s="73"/>
      <c r="G26" s="81"/>
      <c r="H26" s="82"/>
      <c r="I26" s="83"/>
      <c r="J26" s="81"/>
      <c r="K26" s="82"/>
      <c r="L26" s="83"/>
      <c r="M26" s="82"/>
      <c r="N26" s="71">
        <f t="shared" si="0"/>
        <v>92.56</v>
      </c>
      <c r="O26" s="71">
        <v>14.51</v>
      </c>
      <c r="P26" s="71">
        <f t="shared" si="1"/>
        <v>89.83</v>
      </c>
      <c r="Q26" s="71">
        <f t="shared" si="2"/>
        <v>104.34</v>
      </c>
      <c r="R26" s="71">
        <f t="shared" si="3"/>
        <v>196.9</v>
      </c>
      <c r="S26" s="6" t="s">
        <v>130</v>
      </c>
    </row>
    <row r="27" spans="1:19" s="16" customFormat="1" ht="15.75" thickBot="1">
      <c r="A27" s="72" t="s">
        <v>170</v>
      </c>
      <c r="B27" s="73">
        <f>16-4.84</f>
        <v>11.16</v>
      </c>
      <c r="C27" s="75"/>
      <c r="D27" s="71">
        <f>11.5-6.91</f>
        <v>4.59</v>
      </c>
      <c r="E27" s="70">
        <v>1000</v>
      </c>
      <c r="F27" s="73"/>
      <c r="G27" s="81"/>
      <c r="H27" s="82"/>
      <c r="I27" s="83"/>
      <c r="J27" s="81"/>
      <c r="K27" s="82"/>
      <c r="L27" s="83"/>
      <c r="M27" s="82"/>
      <c r="N27" s="71">
        <f t="shared" si="0"/>
        <v>93.15</v>
      </c>
      <c r="O27" s="71">
        <v>14.51</v>
      </c>
      <c r="P27" s="71">
        <f t="shared" si="1"/>
        <v>89.83</v>
      </c>
      <c r="Q27" s="71">
        <f t="shared" si="2"/>
        <v>104.34</v>
      </c>
      <c r="R27" s="71">
        <f t="shared" si="3"/>
        <v>197.49</v>
      </c>
      <c r="S27" s="6" t="s">
        <v>169</v>
      </c>
    </row>
    <row r="28" spans="1:19" s="16" customFormat="1" ht="15.75" thickBot="1">
      <c r="A28" s="150" t="s">
        <v>91</v>
      </c>
      <c r="B28" s="73">
        <v>0</v>
      </c>
      <c r="C28" s="75"/>
      <c r="D28" s="71">
        <f>67.5-13.07</f>
        <v>54.43</v>
      </c>
      <c r="E28" s="70">
        <v>9000</v>
      </c>
      <c r="F28" s="73">
        <f>7.5-6.23</f>
        <v>1.2699999999999996</v>
      </c>
      <c r="G28" s="81">
        <v>3001</v>
      </c>
      <c r="H28" s="82"/>
      <c r="I28" s="83"/>
      <c r="J28" s="81"/>
      <c r="K28" s="82"/>
      <c r="L28" s="83"/>
      <c r="M28" s="82"/>
      <c r="N28" s="71">
        <f>(D28)+(F28*4)</f>
        <v>59.51</v>
      </c>
      <c r="O28" s="71">
        <v>14.51</v>
      </c>
      <c r="P28" s="71">
        <f t="shared" si="1"/>
        <v>89.83</v>
      </c>
      <c r="Q28" s="71">
        <f t="shared" si="2"/>
        <v>104.34</v>
      </c>
      <c r="R28" s="71">
        <f t="shared" si="3"/>
        <v>163.85</v>
      </c>
      <c r="S28" s="6" t="s">
        <v>210</v>
      </c>
    </row>
    <row r="29" spans="1:19" s="16" customFormat="1" ht="27" thickBot="1">
      <c r="A29" s="72" t="s">
        <v>54</v>
      </c>
      <c r="B29" s="73">
        <v>0</v>
      </c>
      <c r="C29" s="75" t="s">
        <v>23</v>
      </c>
      <c r="D29" s="71">
        <f>24.45-6.91-4.84</f>
        <v>12.7</v>
      </c>
      <c r="E29" s="70">
        <v>1000</v>
      </c>
      <c r="F29" s="73">
        <f>11.65-6.91</f>
        <v>4.74</v>
      </c>
      <c r="G29" s="81">
        <v>1001</v>
      </c>
      <c r="H29" s="82"/>
      <c r="I29" s="83"/>
      <c r="J29" s="81"/>
      <c r="K29" s="82"/>
      <c r="L29" s="83"/>
      <c r="M29" s="82"/>
      <c r="N29" s="71">
        <f>(D29)+(F29*12)</f>
        <v>69.58</v>
      </c>
      <c r="O29" s="71">
        <v>14.51</v>
      </c>
      <c r="P29" s="71">
        <f t="shared" si="1"/>
        <v>89.83</v>
      </c>
      <c r="Q29" s="71">
        <f t="shared" si="2"/>
        <v>104.34</v>
      </c>
      <c r="R29" s="71">
        <f t="shared" si="3"/>
        <v>173.92000000000002</v>
      </c>
      <c r="S29" s="6" t="s">
        <v>183</v>
      </c>
    </row>
    <row r="30" spans="1:19" s="16" customFormat="1" ht="15.75" thickBot="1">
      <c r="A30" s="72" t="s">
        <v>89</v>
      </c>
      <c r="B30" s="73"/>
      <c r="C30" s="75">
        <f>34-13.07</f>
        <v>20.93</v>
      </c>
      <c r="D30" s="71">
        <f>6.4-6.91</f>
        <v>-0.50999999999999979</v>
      </c>
      <c r="E30" s="70">
        <v>1000</v>
      </c>
      <c r="F30" s="73"/>
      <c r="G30" s="81"/>
      <c r="H30" s="82"/>
      <c r="I30" s="83"/>
      <c r="J30" s="81"/>
      <c r="K30" s="82"/>
      <c r="L30" s="83"/>
      <c r="M30" s="82"/>
      <c r="N30" s="71">
        <f>(C30)+(D30*13)</f>
        <v>14.300000000000002</v>
      </c>
      <c r="O30" s="71">
        <v>14.51</v>
      </c>
      <c r="P30" s="71">
        <f t="shared" si="1"/>
        <v>89.83</v>
      </c>
      <c r="Q30" s="71">
        <f t="shared" si="2"/>
        <v>104.34</v>
      </c>
      <c r="R30" s="71">
        <f t="shared" si="3"/>
        <v>118.64</v>
      </c>
      <c r="S30" s="6" t="s">
        <v>191</v>
      </c>
    </row>
    <row r="31" spans="1:19" s="16" customFormat="1" ht="15.75" thickBot="1">
      <c r="A31" s="72" t="s">
        <v>27</v>
      </c>
      <c r="B31" s="73">
        <v>0</v>
      </c>
      <c r="C31" s="75"/>
      <c r="D31" s="71">
        <v>6.9</v>
      </c>
      <c r="E31" s="70">
        <v>1000</v>
      </c>
      <c r="F31" s="73"/>
      <c r="G31" s="81"/>
      <c r="H31" s="82"/>
      <c r="I31" s="83"/>
      <c r="J31" s="81"/>
      <c r="K31" s="82"/>
      <c r="L31" s="83"/>
      <c r="M31" s="82"/>
      <c r="N31" s="71">
        <f t="shared" si="0"/>
        <v>89.7</v>
      </c>
      <c r="O31" s="71">
        <v>14.51</v>
      </c>
      <c r="P31" s="71">
        <f t="shared" si="1"/>
        <v>89.83</v>
      </c>
      <c r="Q31" s="71">
        <f t="shared" si="2"/>
        <v>104.34</v>
      </c>
      <c r="R31" s="71">
        <f t="shared" si="3"/>
        <v>194.04000000000002</v>
      </c>
      <c r="S31" s="6" t="s">
        <v>212</v>
      </c>
    </row>
    <row r="32" spans="1:19" s="16" customFormat="1" ht="27" thickBot="1">
      <c r="A32" s="72" t="s">
        <v>65</v>
      </c>
      <c r="B32" s="73">
        <v>13.34</v>
      </c>
      <c r="C32" s="75" t="s">
        <v>23</v>
      </c>
      <c r="D32" s="71">
        <f>7.3</f>
        <v>7.3</v>
      </c>
      <c r="E32" s="70">
        <v>1000</v>
      </c>
      <c r="F32" s="73"/>
      <c r="G32" s="81"/>
      <c r="H32" s="82"/>
      <c r="I32" s="83"/>
      <c r="J32" s="81"/>
      <c r="K32" s="82"/>
      <c r="L32" s="83"/>
      <c r="M32" s="82"/>
      <c r="N32" s="71">
        <f t="shared" si="0"/>
        <v>134.91999999999999</v>
      </c>
      <c r="O32" s="71">
        <v>14.51</v>
      </c>
      <c r="P32" s="71">
        <f t="shared" si="1"/>
        <v>89.83</v>
      </c>
      <c r="Q32" s="71" t="s">
        <v>98</v>
      </c>
      <c r="R32" s="71">
        <f>N32</f>
        <v>134.91999999999999</v>
      </c>
      <c r="S32" s="6" t="s">
        <v>195</v>
      </c>
    </row>
    <row r="33" spans="1:19" s="16" customFormat="1" ht="15.75" thickBot="1">
      <c r="A33" s="72" t="s">
        <v>138</v>
      </c>
      <c r="B33" s="73"/>
      <c r="C33" s="75">
        <f>23.73-14.52</f>
        <v>9.2100000000000009</v>
      </c>
      <c r="D33" s="71">
        <f>7.24-6.96</f>
        <v>0.28000000000000025</v>
      </c>
      <c r="E33" s="70">
        <v>1000</v>
      </c>
      <c r="F33" s="73"/>
      <c r="G33" s="81"/>
      <c r="H33" s="82"/>
      <c r="I33" s="83"/>
      <c r="J33" s="81"/>
      <c r="K33" s="82"/>
      <c r="L33" s="83"/>
      <c r="M33" s="82"/>
      <c r="N33" s="71">
        <f t="shared" si="0"/>
        <v>3.6400000000000032</v>
      </c>
      <c r="O33" s="71">
        <v>14.51</v>
      </c>
      <c r="P33" s="71">
        <f t="shared" si="1"/>
        <v>89.83</v>
      </c>
      <c r="Q33" s="71">
        <f t="shared" si="2"/>
        <v>104.34</v>
      </c>
      <c r="R33" s="71">
        <f t="shared" si="3"/>
        <v>107.98</v>
      </c>
      <c r="S33" s="6" t="s">
        <v>139</v>
      </c>
    </row>
    <row r="34" spans="1:19" s="16" customFormat="1" ht="27" thickBot="1">
      <c r="A34" s="72" t="s">
        <v>221</v>
      </c>
      <c r="B34" s="73">
        <v>0</v>
      </c>
      <c r="C34" s="75" t="s">
        <v>23</v>
      </c>
      <c r="D34" s="71">
        <v>6</v>
      </c>
      <c r="E34" s="70">
        <v>1000</v>
      </c>
      <c r="F34" s="73"/>
      <c r="G34" s="81"/>
      <c r="H34" s="82"/>
      <c r="I34" s="83"/>
      <c r="J34" s="81"/>
      <c r="K34" s="82"/>
      <c r="L34" s="83"/>
      <c r="M34" s="82"/>
      <c r="N34" s="71">
        <f t="shared" si="0"/>
        <v>78</v>
      </c>
      <c r="O34" s="71">
        <v>14.51</v>
      </c>
      <c r="P34" s="71">
        <f t="shared" si="1"/>
        <v>89.83</v>
      </c>
      <c r="Q34" s="71">
        <f t="shared" si="2"/>
        <v>104.34</v>
      </c>
      <c r="R34" s="71">
        <f t="shared" si="3"/>
        <v>182.34</v>
      </c>
      <c r="S34" s="6" t="s">
        <v>64</v>
      </c>
    </row>
    <row r="35" spans="1:19" s="16" customFormat="1" ht="15.75" thickBot="1">
      <c r="A35" s="72" t="s">
        <v>62</v>
      </c>
      <c r="B35" s="73">
        <v>0</v>
      </c>
      <c r="C35" s="75" t="s">
        <v>23</v>
      </c>
      <c r="D35" s="71">
        <v>1.5</v>
      </c>
      <c r="E35" s="70">
        <v>1000</v>
      </c>
      <c r="F35" s="73"/>
      <c r="G35" s="81"/>
      <c r="H35" s="82"/>
      <c r="I35" s="83"/>
      <c r="J35" s="81"/>
      <c r="K35" s="82"/>
      <c r="L35" s="83"/>
      <c r="M35" s="82"/>
      <c r="N35" s="71">
        <f t="shared" si="0"/>
        <v>19.5</v>
      </c>
      <c r="O35" s="71">
        <v>14.51</v>
      </c>
      <c r="P35" s="71">
        <f t="shared" si="1"/>
        <v>89.83</v>
      </c>
      <c r="Q35" s="71">
        <f t="shared" si="2"/>
        <v>104.34</v>
      </c>
      <c r="R35" s="71">
        <f t="shared" si="3"/>
        <v>123.84</v>
      </c>
      <c r="S35" s="6" t="s">
        <v>194</v>
      </c>
    </row>
    <row r="36" spans="1:19" s="16" customFormat="1" ht="27" thickBot="1">
      <c r="A36" s="72" t="s">
        <v>41</v>
      </c>
      <c r="B36" s="73">
        <v>7.16</v>
      </c>
      <c r="C36" s="75"/>
      <c r="D36" s="71">
        <v>3.34</v>
      </c>
      <c r="E36" s="70">
        <v>1000</v>
      </c>
      <c r="F36" s="73"/>
      <c r="G36" s="81"/>
      <c r="H36" s="82"/>
      <c r="I36" s="83"/>
      <c r="J36" s="81"/>
      <c r="K36" s="82"/>
      <c r="L36" s="83"/>
      <c r="M36" s="82"/>
      <c r="N36" s="71">
        <f t="shared" si="0"/>
        <v>64.900000000000006</v>
      </c>
      <c r="O36" s="71">
        <v>14.51</v>
      </c>
      <c r="P36" s="71">
        <f t="shared" si="1"/>
        <v>89.83</v>
      </c>
      <c r="Q36" s="71">
        <f t="shared" si="2"/>
        <v>104.34</v>
      </c>
      <c r="R36" s="71">
        <f t="shared" si="3"/>
        <v>169.24</v>
      </c>
      <c r="S36" s="6" t="s">
        <v>128</v>
      </c>
    </row>
    <row r="37" spans="1:19" s="16" customFormat="1" ht="15.75" thickBot="1">
      <c r="A37" s="72" t="s">
        <v>78</v>
      </c>
      <c r="B37" s="73"/>
      <c r="C37" s="75">
        <v>0</v>
      </c>
      <c r="D37" s="71">
        <v>4.5</v>
      </c>
      <c r="E37" s="70">
        <v>1000</v>
      </c>
      <c r="F37" s="73"/>
      <c r="G37" s="81"/>
      <c r="H37" s="82"/>
      <c r="I37" s="83"/>
      <c r="J37" s="81"/>
      <c r="K37" s="82"/>
      <c r="L37" s="83"/>
      <c r="M37" s="82"/>
      <c r="N37" s="71">
        <f t="shared" si="0"/>
        <v>58.5</v>
      </c>
      <c r="O37" s="71">
        <v>14.51</v>
      </c>
      <c r="P37" s="71">
        <f t="shared" si="1"/>
        <v>89.83</v>
      </c>
      <c r="Q37" s="71">
        <f t="shared" si="2"/>
        <v>104.34</v>
      </c>
      <c r="R37" s="71">
        <f t="shared" si="3"/>
        <v>162.84</v>
      </c>
      <c r="S37" s="6" t="s">
        <v>214</v>
      </c>
    </row>
    <row r="38" spans="1:19" s="16" customFormat="1" ht="15.75" thickBot="1">
      <c r="A38" s="72" t="s">
        <v>44</v>
      </c>
      <c r="B38" s="73"/>
      <c r="C38" s="75">
        <v>0</v>
      </c>
      <c r="D38" s="71">
        <v>0</v>
      </c>
      <c r="E38" s="70">
        <v>1000</v>
      </c>
      <c r="F38" s="73"/>
      <c r="G38" s="81"/>
      <c r="H38" s="82"/>
      <c r="I38" s="83"/>
      <c r="J38" s="81"/>
      <c r="K38" s="82"/>
      <c r="L38" s="83"/>
      <c r="M38" s="82"/>
      <c r="N38" s="71">
        <f t="shared" si="0"/>
        <v>0</v>
      </c>
      <c r="O38" s="71">
        <v>14.51</v>
      </c>
      <c r="P38" s="71">
        <f t="shared" si="1"/>
        <v>89.83</v>
      </c>
      <c r="Q38" s="71">
        <f t="shared" si="2"/>
        <v>104.34</v>
      </c>
      <c r="R38" s="71">
        <f t="shared" si="3"/>
        <v>104.34</v>
      </c>
      <c r="S38" s="6" t="s">
        <v>187</v>
      </c>
    </row>
    <row r="39" spans="1:19" s="16" customFormat="1" ht="27" thickBot="1">
      <c r="A39" s="72" t="s">
        <v>55</v>
      </c>
      <c r="B39" s="73">
        <v>5.57</v>
      </c>
      <c r="C39" s="75" t="s">
        <v>23</v>
      </c>
      <c r="D39" s="71">
        <v>7.95</v>
      </c>
      <c r="E39" s="70">
        <v>1000</v>
      </c>
      <c r="F39" s="73"/>
      <c r="G39" s="81"/>
      <c r="H39" s="82"/>
      <c r="I39" s="83"/>
      <c r="J39" s="81"/>
      <c r="K39" s="82"/>
      <c r="L39" s="83"/>
      <c r="M39" s="82"/>
      <c r="N39" s="71">
        <f t="shared" si="0"/>
        <v>120.06</v>
      </c>
      <c r="O39" s="71">
        <v>14.51</v>
      </c>
      <c r="P39" s="71">
        <f t="shared" si="1"/>
        <v>89.83</v>
      </c>
      <c r="Q39" s="71">
        <f t="shared" si="2"/>
        <v>104.34</v>
      </c>
      <c r="R39" s="71">
        <f t="shared" si="3"/>
        <v>224.4</v>
      </c>
      <c r="S39" s="6" t="s">
        <v>173</v>
      </c>
    </row>
    <row r="40" spans="1:19" s="16" customFormat="1" ht="15.75" thickBot="1">
      <c r="A40" s="72" t="s">
        <v>206</v>
      </c>
      <c r="B40" s="73"/>
      <c r="C40" s="75"/>
      <c r="D40" s="71">
        <v>4.55</v>
      </c>
      <c r="E40" s="70">
        <v>1000</v>
      </c>
      <c r="F40" s="73"/>
      <c r="G40" s="81"/>
      <c r="H40" s="82"/>
      <c r="I40" s="83"/>
      <c r="J40" s="81"/>
      <c r="K40" s="82"/>
      <c r="L40" s="83"/>
      <c r="M40" s="82"/>
      <c r="N40" s="71">
        <f t="shared" si="0"/>
        <v>59.15</v>
      </c>
      <c r="O40" s="71">
        <v>14.51</v>
      </c>
      <c r="P40" s="71">
        <f t="shared" si="1"/>
        <v>89.83</v>
      </c>
      <c r="Q40" s="71">
        <f t="shared" si="2"/>
        <v>104.34</v>
      </c>
      <c r="R40" s="71">
        <f t="shared" si="3"/>
        <v>163.49</v>
      </c>
      <c r="S40" s="6" t="s">
        <v>207</v>
      </c>
    </row>
    <row r="41" spans="1:19" s="16" customFormat="1" ht="15.75" thickBot="1">
      <c r="A41" s="72" t="s">
        <v>93</v>
      </c>
      <c r="B41" s="73">
        <f>17-4.84</f>
        <v>12.16</v>
      </c>
      <c r="C41" s="75"/>
      <c r="D41" s="71">
        <f>8.58-6.91</f>
        <v>1.67</v>
      </c>
      <c r="E41" s="70">
        <v>1000</v>
      </c>
      <c r="F41" s="73"/>
      <c r="G41" s="81"/>
      <c r="H41" s="82"/>
      <c r="I41" s="83"/>
      <c r="J41" s="81"/>
      <c r="K41" s="82" t="s">
        <v>23</v>
      </c>
      <c r="L41" s="83" t="s">
        <v>23</v>
      </c>
      <c r="M41" s="82" t="s">
        <v>23</v>
      </c>
      <c r="N41" s="71">
        <f t="shared" si="0"/>
        <v>58.190000000000005</v>
      </c>
      <c r="O41" s="71">
        <v>14.51</v>
      </c>
      <c r="P41" s="71">
        <f t="shared" si="1"/>
        <v>89.83</v>
      </c>
      <c r="Q41" s="71">
        <f t="shared" si="2"/>
        <v>104.34</v>
      </c>
      <c r="R41" s="71">
        <f t="shared" si="3"/>
        <v>162.53</v>
      </c>
      <c r="S41" s="6" t="s">
        <v>155</v>
      </c>
    </row>
    <row r="42" spans="1:19" s="16" customFormat="1" ht="18" customHeight="1" thickBot="1">
      <c r="A42" s="72" t="s">
        <v>42</v>
      </c>
      <c r="B42" s="73"/>
      <c r="C42" s="75"/>
      <c r="D42" s="71">
        <v>11.89</v>
      </c>
      <c r="E42" s="70">
        <v>4500</v>
      </c>
      <c r="F42" s="161">
        <v>2.5</v>
      </c>
      <c r="G42" s="81">
        <v>4501</v>
      </c>
      <c r="H42" s="82"/>
      <c r="I42" s="83"/>
      <c r="J42" s="81"/>
      <c r="K42" s="82"/>
      <c r="L42" s="83"/>
      <c r="M42" s="82"/>
      <c r="N42" s="71">
        <v>33.14</v>
      </c>
      <c r="O42" s="71">
        <v>14.51</v>
      </c>
      <c r="P42" s="71">
        <f t="shared" si="1"/>
        <v>89.83</v>
      </c>
      <c r="Q42" s="71">
        <f t="shared" si="2"/>
        <v>104.34</v>
      </c>
      <c r="R42" s="71">
        <f t="shared" si="3"/>
        <v>137.48000000000002</v>
      </c>
      <c r="S42" s="6" t="s">
        <v>199</v>
      </c>
    </row>
    <row r="43" spans="1:19" s="16" customFormat="1">
      <c r="A43" s="72" t="s">
        <v>80</v>
      </c>
      <c r="B43" s="73"/>
      <c r="C43" s="75">
        <v>0</v>
      </c>
      <c r="D43" s="71">
        <v>4.01</v>
      </c>
      <c r="E43" s="70">
        <v>1000</v>
      </c>
      <c r="F43" s="73"/>
      <c r="G43" s="81"/>
      <c r="H43" s="82"/>
      <c r="I43" s="83"/>
      <c r="J43" s="81"/>
      <c r="K43" s="82"/>
      <c r="L43" s="83"/>
      <c r="M43" s="82"/>
      <c r="N43" s="71">
        <f t="shared" si="0"/>
        <v>52.129999999999995</v>
      </c>
      <c r="O43" s="71">
        <v>14.51</v>
      </c>
      <c r="P43" s="71">
        <f t="shared" si="1"/>
        <v>89.83</v>
      </c>
      <c r="Q43" s="71">
        <f t="shared" si="2"/>
        <v>104.34</v>
      </c>
      <c r="R43" s="71">
        <f t="shared" si="3"/>
        <v>156.47</v>
      </c>
      <c r="S43" s="6" t="s">
        <v>192</v>
      </c>
    </row>
    <row r="44" spans="1:19" s="16" customFormat="1" ht="15.75" thickBot="1">
      <c r="A44" s="58"/>
      <c r="B44" s="59"/>
      <c r="C44" s="60"/>
      <c r="D44" s="61"/>
      <c r="E44" s="62"/>
      <c r="F44" s="63"/>
      <c r="G44" s="64"/>
      <c r="H44" s="65"/>
      <c r="I44" s="63"/>
      <c r="J44" s="64"/>
      <c r="K44" s="65"/>
      <c r="L44" s="63"/>
      <c r="M44" s="65"/>
      <c r="N44" s="61"/>
      <c r="O44" s="57" t="s">
        <v>23</v>
      </c>
      <c r="P44" s="57" t="s">
        <v>23</v>
      </c>
      <c r="Q44" s="57" t="s">
        <v>23</v>
      </c>
      <c r="R44" s="57" t="s">
        <v>23</v>
      </c>
      <c r="S44" s="6"/>
    </row>
    <row r="45" spans="1:19">
      <c r="S45" s="17"/>
    </row>
    <row r="46" spans="1:19">
      <c r="A46" s="2" t="s">
        <v>30</v>
      </c>
      <c r="B46" s="7"/>
      <c r="C46" s="16"/>
      <c r="D46" s="16"/>
      <c r="E46" s="16"/>
      <c r="F46" s="16"/>
      <c r="G46" s="16"/>
      <c r="H46" s="16"/>
      <c r="I46" s="16"/>
      <c r="J46" s="16"/>
      <c r="K46" s="16"/>
      <c r="L46" s="16"/>
      <c r="M46" s="16"/>
      <c r="N46" s="16"/>
      <c r="S46" s="17"/>
    </row>
    <row r="47" spans="1:19">
      <c r="B47" s="15" t="s">
        <v>31</v>
      </c>
      <c r="Q47" s="15" t="s">
        <v>23</v>
      </c>
      <c r="R47" s="33" t="s">
        <v>23</v>
      </c>
      <c r="S47" s="17"/>
    </row>
    <row r="48" spans="1:19">
      <c r="B48" s="8" t="s">
        <v>129</v>
      </c>
      <c r="C48" s="16"/>
      <c r="D48" s="16"/>
      <c r="E48" s="16"/>
      <c r="F48" s="16"/>
      <c r="G48" s="16"/>
      <c r="S48" s="17"/>
    </row>
    <row r="49" spans="2:19" ht="15.75">
      <c r="B49" s="34" t="s">
        <v>95</v>
      </c>
      <c r="C49" s="16"/>
      <c r="D49" s="16"/>
      <c r="E49" s="16"/>
      <c r="F49" s="16"/>
      <c r="G49" s="16"/>
      <c r="S49" s="17"/>
    </row>
    <row r="50" spans="2:19">
      <c r="B50" s="15" t="s">
        <v>219</v>
      </c>
    </row>
  </sheetData>
  <sheetProtection formatCells="0" formatColumns="0" formatRows="0"/>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ALCOSAN Eastern Basin</vt:lpstr>
      <vt:lpstr>ALCOSAN Northern Basin</vt:lpstr>
      <vt:lpstr>ALCOSAN Southern Basin</vt:lpstr>
      <vt:lpstr>'ALCOSAN Eastern Basin'!Print_Area</vt:lpstr>
      <vt:lpstr>'ALCOSAN Northern Basin'!Print_Area</vt:lpstr>
      <vt:lpstr>'ALCOSAN Southern Basin'!Print_Area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tschubert</cp:lastModifiedBy>
  <cp:lastPrinted>2017-05-16T14:52:06Z</cp:lastPrinted>
  <dcterms:created xsi:type="dcterms:W3CDTF">2010-10-20T16:43:27Z</dcterms:created>
  <dcterms:modified xsi:type="dcterms:W3CDTF">2017-05-23T16:03:57Z</dcterms:modified>
</cp:coreProperties>
</file>