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11955"/>
  </bookViews>
  <sheets>
    <sheet name="ALCOSAN Eastern Basin" sheetId="1" r:id="rId1"/>
    <sheet name="ALCOSAN Northern Basin" sheetId="2" r:id="rId2"/>
    <sheet name="ALCOSAN Southern Basin" sheetId="3" r:id="rId3"/>
  </sheets>
  <definedNames>
    <definedName name="_xlnm.Print_Area" localSheetId="0">'ALCOSAN Eastern Basin'!$A$1:$R$33</definedName>
    <definedName name="_xlnm.Print_Area" localSheetId="1">'ALCOSAN Northern Basin'!$A$1:$R$37</definedName>
    <definedName name="_xlnm.Print_Area" localSheetId="2">'ALCOSAN Southern Basin'!$A$2:$R$43</definedName>
  </definedNames>
  <calcPr calcId="125725"/>
</workbook>
</file>

<file path=xl/calcChain.xml><?xml version="1.0" encoding="utf-8"?>
<calcChain xmlns="http://schemas.openxmlformats.org/spreadsheetml/2006/main">
  <c r="N35" i="2"/>
  <c r="N22"/>
  <c r="N19"/>
  <c r="N20"/>
  <c r="N21"/>
  <c r="N23"/>
  <c r="N26"/>
  <c r="N42" i="3"/>
  <c r="P9" i="1" l="1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8"/>
  <c r="N9"/>
  <c r="N10"/>
  <c r="N11"/>
  <c r="N13"/>
  <c r="N14"/>
  <c r="N15"/>
  <c r="N17"/>
  <c r="N22"/>
  <c r="N23"/>
  <c r="N28"/>
  <c r="N29"/>
  <c r="N31"/>
  <c r="N32"/>
  <c r="N33"/>
  <c r="N8"/>
  <c r="P9" i="2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8"/>
  <c r="N37"/>
  <c r="N9"/>
  <c r="N10"/>
  <c r="N11"/>
  <c r="N12"/>
  <c r="N14"/>
  <c r="N15"/>
  <c r="N24"/>
  <c r="N28"/>
  <c r="N30"/>
  <c r="N33"/>
  <c r="N34"/>
  <c r="N8"/>
  <c r="P9" i="3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8"/>
  <c r="N11"/>
  <c r="N12"/>
  <c r="N13"/>
  <c r="N14"/>
  <c r="N15"/>
  <c r="N16"/>
  <c r="N17"/>
  <c r="N18"/>
  <c r="N21"/>
  <c r="N24"/>
  <c r="N25"/>
  <c r="N26"/>
  <c r="N31"/>
  <c r="N33"/>
  <c r="N34"/>
  <c r="N35"/>
  <c r="N36"/>
  <c r="N37"/>
  <c r="N38"/>
  <c r="N39"/>
  <c r="N40"/>
  <c r="N43"/>
  <c r="N9"/>
  <c r="D27" i="2"/>
  <c r="F27"/>
  <c r="N27" s="1"/>
  <c r="C13" i="3"/>
  <c r="D13"/>
  <c r="B20"/>
  <c r="N20" s="1"/>
  <c r="D20"/>
  <c r="B23"/>
  <c r="N23" s="1"/>
  <c r="D23"/>
  <c r="D13" i="2"/>
  <c r="N13" s="1"/>
  <c r="C20" i="1"/>
  <c r="D20"/>
  <c r="D36" i="2"/>
  <c r="N36" s="1"/>
  <c r="D41" i="3"/>
  <c r="N41" s="1"/>
  <c r="B41"/>
  <c r="F21" i="1"/>
  <c r="D21"/>
  <c r="N21" s="1"/>
  <c r="F27"/>
  <c r="C27"/>
  <c r="N27" s="1"/>
  <c r="D27"/>
  <c r="C18" i="2"/>
  <c r="N18" s="1"/>
  <c r="D18"/>
  <c r="D17"/>
  <c r="C17"/>
  <c r="C30" i="3"/>
  <c r="D30"/>
  <c r="N30" s="1"/>
  <c r="D8"/>
  <c r="B8"/>
  <c r="N8" s="1"/>
  <c r="D39"/>
  <c r="D22"/>
  <c r="N22" s="1"/>
  <c r="B27"/>
  <c r="D27"/>
  <c r="N27" s="1"/>
  <c r="D15"/>
  <c r="D25" i="2"/>
  <c r="C25"/>
  <c r="N25" s="1"/>
  <c r="F28" i="3"/>
  <c r="N28" s="1"/>
  <c r="D32" i="2"/>
  <c r="N32" s="1"/>
  <c r="D31"/>
  <c r="F31"/>
  <c r="D29" i="3"/>
  <c r="N29" s="1"/>
  <c r="F29"/>
  <c r="F16" i="1"/>
  <c r="D16"/>
  <c r="N16" s="1"/>
  <c r="N31" i="2" l="1"/>
  <c r="N20" i="1"/>
  <c r="N17" i="2"/>
  <c r="D12" i="1"/>
  <c r="N12" s="1"/>
  <c r="F12"/>
  <c r="D30"/>
  <c r="N30" s="1"/>
  <c r="F29" i="2"/>
  <c r="N29" s="1"/>
  <c r="F19" i="1"/>
  <c r="D19"/>
  <c r="D32" i="3"/>
  <c r="B32"/>
  <c r="N32" s="1"/>
  <c r="R32" s="1"/>
  <c r="B10"/>
  <c r="D10"/>
  <c r="C25" i="1"/>
  <c r="N25" s="1"/>
  <c r="C16" i="2"/>
  <c r="N16" s="1"/>
  <c r="C26" i="1"/>
  <c r="D26"/>
  <c r="D19" i="3"/>
  <c r="B19"/>
  <c r="N19" s="1"/>
  <c r="C33"/>
  <c r="N10" l="1"/>
  <c r="N26" i="1"/>
  <c r="N19"/>
  <c r="Q43" i="3"/>
  <c r="Q42"/>
  <c r="Q41"/>
  <c r="Q40"/>
  <c r="Q39"/>
  <c r="Q38"/>
  <c r="Q37"/>
  <c r="Q36"/>
  <c r="Q35"/>
  <c r="Q34"/>
  <c r="Q33"/>
  <c r="Q31"/>
  <c r="Q30"/>
  <c r="Q29"/>
  <c r="R29" s="1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37" i="2"/>
  <c r="Q36"/>
  <c r="R36" s="1"/>
  <c r="Q35"/>
  <c r="R35" s="1"/>
  <c r="Q34"/>
  <c r="R34" s="1"/>
  <c r="Q33"/>
  <c r="R33" s="1"/>
  <c r="Q32"/>
  <c r="R32" s="1"/>
  <c r="Q31"/>
  <c r="R31" s="1"/>
  <c r="Q30"/>
  <c r="Q29"/>
  <c r="R29" s="1"/>
  <c r="Q28"/>
  <c r="Q27"/>
  <c r="Q26"/>
  <c r="Q25"/>
  <c r="Q24"/>
  <c r="Q23"/>
  <c r="Q22"/>
  <c r="Q21"/>
  <c r="Q20"/>
  <c r="Q19"/>
  <c r="Q18"/>
  <c r="Q17"/>
  <c r="Q16"/>
  <c r="R16" s="1"/>
  <c r="Q15"/>
  <c r="R15" s="1"/>
  <c r="Q14"/>
  <c r="Q13"/>
  <c r="Q12"/>
  <c r="Q11"/>
  <c r="Q10"/>
  <c r="R10" s="1"/>
  <c r="Q9"/>
  <c r="Q8"/>
  <c r="Q33" i="1"/>
  <c r="Q32"/>
  <c r="Q31"/>
  <c r="Q30"/>
  <c r="Q29"/>
  <c r="Q28"/>
  <c r="Q27"/>
  <c r="R27" s="1"/>
  <c r="Q26"/>
  <c r="Q25"/>
  <c r="R25" s="1"/>
  <c r="Q24"/>
  <c r="R24" s="1"/>
  <c r="Q23"/>
  <c r="Q22"/>
  <c r="Q21"/>
  <c r="Q20"/>
  <c r="R20" s="1"/>
  <c r="Q19"/>
  <c r="R19" s="1"/>
  <c r="Q18"/>
  <c r="D18" s="1"/>
  <c r="N18" s="1"/>
  <c r="Q17"/>
  <c r="Q16"/>
  <c r="R16" s="1"/>
  <c r="Q15"/>
  <c r="R15" s="1"/>
  <c r="Q14"/>
  <c r="Q13"/>
  <c r="R13" s="1"/>
  <c r="Q12"/>
  <c r="R12" s="1"/>
  <c r="Q11"/>
  <c r="Q10"/>
  <c r="Q9"/>
  <c r="Q8"/>
  <c r="R14" i="2" l="1"/>
  <c r="R17"/>
  <c r="R10" i="3"/>
  <c r="M14" i="1"/>
  <c r="R14" s="1"/>
  <c r="R18" i="2"/>
  <c r="R25"/>
  <c r="R13"/>
  <c r="R19"/>
  <c r="R20"/>
  <c r="R21"/>
  <c r="R22"/>
  <c r="R23"/>
  <c r="R24"/>
  <c r="R26"/>
  <c r="R27"/>
  <c r="R28"/>
  <c r="R30"/>
  <c r="R37"/>
  <c r="R9"/>
  <c r="R11"/>
  <c r="R12"/>
  <c r="R8"/>
  <c r="R21" i="1"/>
  <c r="R22"/>
  <c r="R23"/>
  <c r="R18"/>
  <c r="R9"/>
  <c r="R10"/>
  <c r="R11"/>
  <c r="R17"/>
  <c r="R26"/>
  <c r="R28"/>
  <c r="R29"/>
  <c r="R30"/>
  <c r="R31"/>
  <c r="R32"/>
  <c r="R33"/>
  <c r="R8"/>
  <c r="R16" i="3"/>
  <c r="R17"/>
  <c r="R18"/>
  <c r="R19"/>
  <c r="R20"/>
  <c r="R21"/>
  <c r="R22"/>
  <c r="R23"/>
  <c r="R24"/>
  <c r="R25"/>
  <c r="R26"/>
  <c r="R27"/>
  <c r="R28"/>
  <c r="R30"/>
  <c r="R31"/>
  <c r="R33"/>
  <c r="R34"/>
  <c r="R35"/>
  <c r="R36"/>
  <c r="R37"/>
  <c r="R38"/>
  <c r="R39"/>
  <c r="R40"/>
  <c r="R41"/>
  <c r="R42"/>
  <c r="R43"/>
  <c r="R8"/>
  <c r="R9"/>
  <c r="R11"/>
  <c r="R12"/>
  <c r="R13"/>
  <c r="R14"/>
  <c r="R15"/>
</calcChain>
</file>

<file path=xl/sharedStrings.xml><?xml version="1.0" encoding="utf-8"?>
<sst xmlns="http://schemas.openxmlformats.org/spreadsheetml/2006/main" count="254" uniqueCount="133">
  <si>
    <t>Eastern Basin</t>
  </si>
  <si>
    <t>NOTE: All rates are given in $/1000 gallons</t>
  </si>
  <si>
    <t>"from"  and "to" columns indicate lower and upper gallon ranges applicable to Tier Rate</t>
  </si>
  <si>
    <t>Municipality</t>
  </si>
  <si>
    <t xml:space="preserve">    Service Charge</t>
  </si>
  <si>
    <t xml:space="preserve">             Base</t>
  </si>
  <si>
    <t>Tier 1*</t>
  </si>
  <si>
    <t>Tier 2*</t>
  </si>
  <si>
    <t xml:space="preserve">      Tier 3*</t>
  </si>
  <si>
    <t>Local Charge</t>
  </si>
  <si>
    <t>ALCOSAN</t>
  </si>
  <si>
    <t>ALCOSAN Charge</t>
  </si>
  <si>
    <t>TOTAL</t>
  </si>
  <si>
    <t>Authority</t>
  </si>
  <si>
    <t>Monthly</t>
  </si>
  <si>
    <t>Quarterly</t>
  </si>
  <si>
    <t>Rate</t>
  </si>
  <si>
    <t>Gallons</t>
  </si>
  <si>
    <t>from</t>
  </si>
  <si>
    <t>to</t>
  </si>
  <si>
    <t>over</t>
  </si>
  <si>
    <t>Service Fee</t>
  </si>
  <si>
    <t>CUSTOMER</t>
  </si>
  <si>
    <t>East McKeesport</t>
  </si>
  <si>
    <t xml:space="preserve"> </t>
  </si>
  <si>
    <t>Flat Rate</t>
  </si>
  <si>
    <t>Residential</t>
  </si>
  <si>
    <t>Penn Township</t>
  </si>
  <si>
    <t>Pittsburgh</t>
  </si>
  <si>
    <t>Trafford</t>
  </si>
  <si>
    <t>Verona**</t>
  </si>
  <si>
    <t>NOTES:</t>
  </si>
  <si>
    <t>* Tiered rates are given for 1000 gallons</t>
  </si>
  <si>
    <t>*** For Plum Borough, rates are based on cubic feet…..these values converted to gallons for this comparison.</t>
  </si>
  <si>
    <t>Residential Rate Comparison</t>
  </si>
  <si>
    <t>Northern Basin</t>
  </si>
  <si>
    <t xml:space="preserve">       Base</t>
  </si>
  <si>
    <t>Charge/quarter</t>
  </si>
  <si>
    <t>Ben Avon**</t>
  </si>
  <si>
    <t>Sharpsburg</t>
  </si>
  <si>
    <t>* Rates are for 1000 gallons</t>
  </si>
  <si>
    <t>Southern Basin</t>
  </si>
  <si>
    <t>South Fayette</t>
  </si>
  <si>
    <t>Whitaker</t>
  </si>
  <si>
    <t>Chalfont**</t>
  </si>
  <si>
    <t>Mt. Lebanon**</t>
  </si>
  <si>
    <t>Castle Shannon**</t>
  </si>
  <si>
    <t>Thornburg**</t>
  </si>
  <si>
    <t>Girty's Run **</t>
  </si>
  <si>
    <t>Millvale - Girty's Run **</t>
  </si>
  <si>
    <t>West View **</t>
  </si>
  <si>
    <t>Aspinwall **</t>
  </si>
  <si>
    <t>Reserve **</t>
  </si>
  <si>
    <t>Reserve - Girtys Run Cust. **</t>
  </si>
  <si>
    <t>Emsworth **</t>
  </si>
  <si>
    <t>Avalon **</t>
  </si>
  <si>
    <t>Oakdale</t>
  </si>
  <si>
    <t>Upper St. Clair</t>
  </si>
  <si>
    <t>Brentwood</t>
  </si>
  <si>
    <t xml:space="preserve">McCandless - Residential </t>
  </si>
  <si>
    <t>Franklin Park - Lowries Run</t>
  </si>
  <si>
    <t>Franklin Park - Bear Run</t>
  </si>
  <si>
    <t>Bethel Park</t>
  </si>
  <si>
    <t>Kennedy</t>
  </si>
  <si>
    <t>Scott **</t>
  </si>
  <si>
    <t>Wall</t>
  </si>
  <si>
    <t>Pleasant Hills</t>
  </si>
  <si>
    <t>Carnegie</t>
  </si>
  <si>
    <t xml:space="preserve">Ross </t>
  </si>
  <si>
    <t xml:space="preserve">Neville </t>
  </si>
  <si>
    <t>Dormont **</t>
  </si>
  <si>
    <t>Homestead</t>
  </si>
  <si>
    <t>Wilkins**</t>
  </si>
  <si>
    <t>Wilkinsburg**</t>
  </si>
  <si>
    <t>Wilmerding**</t>
  </si>
  <si>
    <t>Rankin**</t>
  </si>
  <si>
    <t>Forest Hills**</t>
  </si>
  <si>
    <t>East Pittsburgh**</t>
  </si>
  <si>
    <t>Braddock Hills**</t>
  </si>
  <si>
    <t>Ingram**</t>
  </si>
  <si>
    <t>Stowe**</t>
  </si>
  <si>
    <t>Crafton</t>
  </si>
  <si>
    <t>North Huntingdon</t>
  </si>
  <si>
    <t>Whitehall</t>
  </si>
  <si>
    <t>McKees Rocks</t>
  </si>
  <si>
    <t>Monroeville</t>
  </si>
  <si>
    <t>Churchill**</t>
  </si>
  <si>
    <t>Shaler**</t>
  </si>
  <si>
    <t>Shaler - Girty's Run Area**</t>
  </si>
  <si>
    <t>West Homestead</t>
  </si>
  <si>
    <t>Green Tree</t>
  </si>
  <si>
    <t>North Braddock</t>
  </si>
  <si>
    <t>Robinson **</t>
  </si>
  <si>
    <t>Collier</t>
  </si>
  <si>
    <t>Bridgeville</t>
  </si>
  <si>
    <t>Mt. Oliver</t>
  </si>
  <si>
    <t>Ohio Twp. Sanitary Auth.</t>
  </si>
  <si>
    <t>Peters**</t>
  </si>
  <si>
    <t>Turtle Creek</t>
  </si>
  <si>
    <t xml:space="preserve">Etna </t>
  </si>
  <si>
    <t xml:space="preserve">Munhall** </t>
  </si>
  <si>
    <t>North Fayette</t>
  </si>
  <si>
    <t xml:space="preserve">Blawnox </t>
  </si>
  <si>
    <t>Bellevue**</t>
  </si>
  <si>
    <t>Baldwin Borough**</t>
  </si>
  <si>
    <t>West Mifflin</t>
  </si>
  <si>
    <t xml:space="preserve">Kilbuck </t>
  </si>
  <si>
    <r>
      <t xml:space="preserve">x </t>
    </r>
    <r>
      <rPr>
        <b/>
        <sz val="10"/>
        <rFont val="Calibri"/>
        <family val="2"/>
        <scheme val="minor"/>
      </rPr>
      <t>No Response to survey</t>
    </r>
  </si>
  <si>
    <r>
      <t xml:space="preserve">** No change in </t>
    </r>
    <r>
      <rPr>
        <b/>
        <sz val="11"/>
        <rFont val="Calibri"/>
        <family val="2"/>
        <scheme val="minor"/>
      </rPr>
      <t>effective</t>
    </r>
    <r>
      <rPr>
        <sz val="11"/>
        <rFont val="Calibri"/>
        <family val="2"/>
        <scheme val="minor"/>
      </rPr>
      <t xml:space="preserve"> local rates from 2014 survey</t>
    </r>
  </si>
  <si>
    <t>Edgewood**</t>
  </si>
  <si>
    <r>
      <t xml:space="preserve">** No change in </t>
    </r>
    <r>
      <rPr>
        <b/>
        <sz val="11"/>
        <rFont val="Arial"/>
        <family val="2"/>
      </rPr>
      <t xml:space="preserve">effective </t>
    </r>
    <r>
      <rPr>
        <sz val="11"/>
        <rFont val="Arial"/>
        <family val="2"/>
      </rPr>
      <t xml:space="preserve">local rates </t>
    </r>
    <r>
      <rPr>
        <sz val="11"/>
        <rFont val="Calibri"/>
        <family val="2"/>
        <scheme val="minor"/>
      </rPr>
      <t>from 2014 suvey</t>
    </r>
  </si>
  <si>
    <t>North Versailles**</t>
  </si>
  <si>
    <t>Plum</t>
  </si>
  <si>
    <t>Heidelberg**</t>
  </si>
  <si>
    <r>
      <t xml:space="preserve">ALCOSAN rates in 2015 include a </t>
    </r>
    <r>
      <rPr>
        <b/>
        <sz val="11"/>
        <rFont val="Calibri"/>
        <family val="2"/>
        <scheme val="minor"/>
      </rPr>
      <t>$11.78</t>
    </r>
    <r>
      <rPr>
        <sz val="11"/>
        <rFont val="Calibri"/>
        <family val="2"/>
        <scheme val="minor"/>
      </rPr>
      <t xml:space="preserve"> quarterly service charge plus $5.61 per thousand gallons of water consumption</t>
    </r>
  </si>
  <si>
    <t>-</t>
  </si>
  <si>
    <t>Baldwin Township**</t>
  </si>
  <si>
    <t>Indiana - Ottawa **</t>
  </si>
  <si>
    <t>Indiana - Fairview **</t>
  </si>
  <si>
    <t xml:space="preserve">Indiana - Middle Rd. Ext.** </t>
  </si>
  <si>
    <t>Indiana - Middle Rd. I &amp; II **</t>
  </si>
  <si>
    <t>O'Hara</t>
  </si>
  <si>
    <t>Fox Chapel**</t>
  </si>
  <si>
    <t>Penn Hills</t>
  </si>
  <si>
    <t>McDonald**</t>
  </si>
  <si>
    <t>Braddock**</t>
  </si>
  <si>
    <t>Ben Avon Heights**</t>
  </si>
  <si>
    <t>Pitcairn</t>
  </si>
  <si>
    <t>Swissvale **</t>
  </si>
  <si>
    <r>
      <t xml:space="preserve">Rosslyn Farms </t>
    </r>
    <r>
      <rPr>
        <b/>
        <vertAlign val="superscript"/>
        <sz val="11"/>
        <rFont val="Calibri"/>
        <family val="2"/>
        <scheme val="minor"/>
      </rPr>
      <t>x</t>
    </r>
  </si>
  <si>
    <t>13,000 Gallons</t>
  </si>
  <si>
    <t>NET LOCAL CHARGES BELOW ARE BASED ON 13,000 GALLONS/QUARTER AFTER ALCOSAN FEES REMOVED</t>
  </si>
  <si>
    <t>13,000 gallons</t>
  </si>
</sst>
</file>

<file path=xl/styles.xml><?xml version="1.0" encoding="utf-8"?>
<styleSheet xmlns="http://schemas.openxmlformats.org/spreadsheetml/2006/main">
  <numFmts count="4">
    <numFmt numFmtId="164" formatCode="&quot;$&quot;#,##0.00"/>
    <numFmt numFmtId="165" formatCode="&quot;$&quot;#,##0.000"/>
    <numFmt numFmtId="166" formatCode="0.0%"/>
    <numFmt numFmtId="167" formatCode="&quot;$&quot;#,##0.0000"/>
  </numFmts>
  <fonts count="1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 applyFill="1"/>
    <xf numFmtId="0" fontId="1" fillId="0" borderId="0" xfId="0" applyFont="1"/>
    <xf numFmtId="0" fontId="2" fillId="0" borderId="1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1" fontId="2" fillId="0" borderId="14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/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Border="1"/>
    <xf numFmtId="0" fontId="3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 applyBorder="1"/>
    <xf numFmtId="0" fontId="5" fillId="0" borderId="0" xfId="0" applyFont="1"/>
    <xf numFmtId="0" fontId="5" fillId="0" borderId="0" xfId="0" applyFont="1" applyFill="1"/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164" fontId="5" fillId="0" borderId="0" xfId="0" applyNumberFormat="1" applyFont="1"/>
    <xf numFmtId="0" fontId="7" fillId="0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3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/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/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34" xfId="0" applyFont="1" applyBorder="1"/>
    <xf numFmtId="0" fontId="5" fillId="0" borderId="34" xfId="0" applyFont="1" applyFill="1" applyBorder="1"/>
    <xf numFmtId="0" fontId="5" fillId="0" borderId="0" xfId="0" applyFont="1" applyFill="1" applyBorder="1"/>
    <xf numFmtId="0" fontId="5" fillId="0" borderId="0" xfId="0" applyFont="1" applyBorder="1"/>
    <xf numFmtId="0" fontId="8" fillId="0" borderId="0" xfId="0" applyFont="1" applyFill="1"/>
    <xf numFmtId="0" fontId="8" fillId="0" borderId="0" xfId="0" applyFont="1" applyFill="1" applyAlignment="1">
      <alignment horizontal="left" wrapText="1"/>
    </xf>
    <xf numFmtId="0" fontId="5" fillId="0" borderId="15" xfId="0" applyFont="1" applyFill="1" applyBorder="1"/>
    <xf numFmtId="164" fontId="2" fillId="0" borderId="16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3" fontId="2" fillId="0" borderId="36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1" fontId="2" fillId="0" borderId="37" xfId="0" applyNumberFormat="1" applyFont="1" applyFill="1" applyBorder="1" applyAlignment="1">
      <alignment horizontal="center"/>
    </xf>
    <xf numFmtId="0" fontId="5" fillId="0" borderId="18" xfId="0" applyFont="1" applyFill="1" applyBorder="1"/>
    <xf numFmtId="164" fontId="2" fillId="0" borderId="22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0" fontId="5" fillId="0" borderId="28" xfId="0" applyFont="1" applyFill="1" applyBorder="1"/>
    <xf numFmtId="164" fontId="2" fillId="0" borderId="25" xfId="0" applyNumberFormat="1" applyFont="1" applyFill="1" applyBorder="1" applyAlignment="1">
      <alignment horizontal="center"/>
    </xf>
    <xf numFmtId="164" fontId="2" fillId="0" borderId="26" xfId="0" applyNumberFormat="1" applyFont="1" applyFill="1" applyBorder="1" applyAlignment="1">
      <alignment horizontal="center"/>
    </xf>
    <xf numFmtId="164" fontId="2" fillId="0" borderId="27" xfId="0" applyNumberFormat="1" applyFont="1" applyFill="1" applyBorder="1" applyAlignment="1">
      <alignment horizontal="center"/>
    </xf>
    <xf numFmtId="1" fontId="2" fillId="0" borderId="29" xfId="0" applyNumberFormat="1" applyFont="1" applyFill="1" applyBorder="1" applyAlignment="1">
      <alignment horizontal="center"/>
    </xf>
    <xf numFmtId="1" fontId="2" fillId="0" borderId="26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8" xfId="0" applyFont="1" applyFill="1" applyBorder="1"/>
    <xf numFmtId="167" fontId="10" fillId="0" borderId="22" xfId="0" applyNumberFormat="1" applyFont="1" applyFill="1" applyBorder="1" applyAlignment="1">
      <alignment horizontal="center"/>
    </xf>
    <xf numFmtId="164" fontId="2" fillId="2" borderId="18" xfId="0" applyNumberFormat="1" applyFont="1" applyFill="1" applyBorder="1" applyAlignment="1">
      <alignment horizontal="center"/>
    </xf>
    <xf numFmtId="0" fontId="5" fillId="2" borderId="30" xfId="0" applyFont="1" applyFill="1" applyBorder="1"/>
    <xf numFmtId="164" fontId="2" fillId="2" borderId="31" xfId="0" applyNumberFormat="1" applyFont="1" applyFill="1" applyBorder="1" applyAlignment="1">
      <alignment horizontal="center"/>
    </xf>
    <xf numFmtId="164" fontId="2" fillId="2" borderId="32" xfId="0" applyNumberFormat="1" applyFont="1" applyFill="1" applyBorder="1" applyAlignment="1">
      <alignment horizontal="center"/>
    </xf>
    <xf numFmtId="164" fontId="2" fillId="2" borderId="30" xfId="0" applyNumberFormat="1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" fontId="4" fillId="0" borderId="36" xfId="0" applyNumberFormat="1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1" fontId="4" fillId="0" borderId="37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164" fontId="4" fillId="0" borderId="22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center"/>
    </xf>
    <xf numFmtId="4" fontId="4" fillId="0" borderId="22" xfId="0" applyNumberFormat="1" applyFont="1" applyFill="1" applyBorder="1" applyAlignment="1">
      <alignment horizontal="center"/>
    </xf>
    <xf numFmtId="0" fontId="4" fillId="0" borderId="18" xfId="0" applyFont="1" applyFill="1" applyBorder="1"/>
    <xf numFmtId="3" fontId="4" fillId="0" borderId="24" xfId="0" applyNumberFormat="1" applyFont="1" applyFill="1" applyBorder="1" applyAlignment="1">
      <alignment horizontal="center"/>
    </xf>
    <xf numFmtId="3" fontId="4" fillId="0" borderId="23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/>
    </xf>
    <xf numFmtId="0" fontId="5" fillId="0" borderId="38" xfId="0" applyFont="1" applyFill="1" applyBorder="1"/>
    <xf numFmtId="164" fontId="4" fillId="0" borderId="25" xfId="0" applyNumberFormat="1" applyFont="1" applyFill="1" applyBorder="1" applyAlignment="1">
      <alignment horizontal="center"/>
    </xf>
    <xf numFmtId="164" fontId="4" fillId="0" borderId="26" xfId="0" applyNumberFormat="1" applyFont="1" applyFill="1" applyBorder="1" applyAlignment="1">
      <alignment horizontal="center"/>
    </xf>
    <xf numFmtId="164" fontId="4" fillId="0" borderId="27" xfId="0" applyNumberFormat="1" applyFont="1" applyFill="1" applyBorder="1" applyAlignment="1">
      <alignment horizontal="center"/>
    </xf>
    <xf numFmtId="1" fontId="4" fillId="0" borderId="28" xfId="0" applyNumberFormat="1" applyFont="1" applyFill="1" applyBorder="1" applyAlignment="1">
      <alignment horizontal="center"/>
    </xf>
    <xf numFmtId="1" fontId="4" fillId="0" borderId="29" xfId="0" applyNumberFormat="1" applyFont="1" applyFill="1" applyBorder="1" applyAlignment="1">
      <alignment horizontal="center"/>
    </xf>
    <xf numFmtId="1" fontId="4" fillId="0" borderId="26" xfId="0" applyNumberFormat="1" applyFont="1" applyFill="1" applyBorder="1" applyAlignment="1">
      <alignment horizontal="center"/>
    </xf>
    <xf numFmtId="4" fontId="4" fillId="0" borderId="25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30" xfId="0" applyFont="1" applyFill="1" applyBorder="1"/>
    <xf numFmtId="164" fontId="4" fillId="0" borderId="31" xfId="0" applyNumberFormat="1" applyFont="1" applyFill="1" applyBorder="1" applyAlignment="1">
      <alignment horizontal="center"/>
    </xf>
    <xf numFmtId="164" fontId="4" fillId="0" borderId="32" xfId="0" applyNumberFormat="1" applyFont="1" applyFill="1" applyBorder="1" applyAlignment="1">
      <alignment horizontal="center"/>
    </xf>
    <xf numFmtId="164" fontId="4" fillId="0" borderId="30" xfId="0" applyNumberFormat="1" applyFont="1" applyFill="1" applyBorder="1" applyAlignment="1">
      <alignment horizontal="center"/>
    </xf>
    <xf numFmtId="1" fontId="4" fillId="0" borderId="30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166" fontId="2" fillId="0" borderId="22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>
      <alignment horizontal="left"/>
    </xf>
    <xf numFmtId="3" fontId="2" fillId="0" borderId="28" xfId="0" applyNumberFormat="1" applyFont="1" applyFill="1" applyBorder="1" applyAlignment="1">
      <alignment horizontal="center"/>
    </xf>
    <xf numFmtId="0" fontId="5" fillId="0" borderId="30" xfId="0" applyFont="1" applyFill="1" applyBorder="1"/>
    <xf numFmtId="164" fontId="2" fillId="0" borderId="31" xfId="0" applyNumberFormat="1" applyFont="1" applyFill="1" applyBorder="1" applyAlignment="1">
      <alignment horizontal="center"/>
    </xf>
    <xf numFmtId="164" fontId="2" fillId="0" borderId="32" xfId="0" applyNumberFormat="1" applyFont="1" applyFill="1" applyBorder="1" applyAlignment="1">
      <alignment horizontal="center"/>
    </xf>
    <xf numFmtId="164" fontId="2" fillId="0" borderId="30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164" fontId="4" fillId="0" borderId="2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abSelected="1" zoomScaleNormal="100" workbookViewId="0">
      <selection activeCell="S1" sqref="S1:S1048576"/>
    </sheetView>
  </sheetViews>
  <sheetFormatPr defaultRowHeight="15"/>
  <cols>
    <col min="1" max="1" width="20.85546875" style="18" customWidth="1"/>
    <col min="2" max="2" width="9" style="18" customWidth="1"/>
    <col min="3" max="3" width="9.140625" style="18"/>
    <col min="4" max="4" width="8.7109375" style="18" customWidth="1"/>
    <col min="5" max="5" width="8.42578125" style="18" customWidth="1"/>
    <col min="6" max="6" width="7" style="18" customWidth="1"/>
    <col min="7" max="7" width="6.42578125" style="18" customWidth="1"/>
    <col min="8" max="8" width="7.140625" style="18" customWidth="1"/>
    <col min="9" max="10" width="6.42578125" style="18" customWidth="1"/>
    <col min="11" max="11" width="7.140625" style="18" customWidth="1"/>
    <col min="12" max="12" width="6.42578125" style="18" customWidth="1"/>
    <col min="13" max="13" width="12.85546875" style="18" customWidth="1"/>
    <col min="14" max="14" width="14.7109375" style="18" customWidth="1"/>
    <col min="15" max="15" width="10.85546875" style="18" bestFit="1" customWidth="1"/>
    <col min="16" max="16" width="16.5703125" style="18" bestFit="1" customWidth="1"/>
    <col min="17" max="18" width="9.7109375" style="18" customWidth="1"/>
    <col min="19" max="16384" width="9.140625" style="18"/>
  </cols>
  <sheetData>
    <row r="1" spans="1:18">
      <c r="B1" s="19">
        <v>2015</v>
      </c>
      <c r="C1" s="19" t="s">
        <v>34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8">
      <c r="B2" s="19"/>
      <c r="C2" s="19" t="s">
        <v>0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8">
      <c r="B3" s="1" t="s">
        <v>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8" ht="15" customHeight="1">
      <c r="B4" s="19"/>
      <c r="C4" s="1" t="s">
        <v>2</v>
      </c>
      <c r="D4" s="1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8" ht="15.75" thickBot="1">
      <c r="B5" s="19" t="s">
        <v>131</v>
      </c>
      <c r="C5" s="1"/>
      <c r="D5" s="1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8" ht="15.75" thickBot="1">
      <c r="A6" s="21" t="s">
        <v>3</v>
      </c>
      <c r="B6" s="39" t="s">
        <v>4</v>
      </c>
      <c r="C6" s="39"/>
      <c r="D6" s="40" t="s">
        <v>5</v>
      </c>
      <c r="E6" s="41"/>
      <c r="F6" s="42"/>
      <c r="G6" s="43" t="s">
        <v>6</v>
      </c>
      <c r="H6" s="44"/>
      <c r="I6" s="42"/>
      <c r="J6" s="43" t="s">
        <v>7</v>
      </c>
      <c r="K6" s="44"/>
      <c r="L6" s="42" t="s">
        <v>8</v>
      </c>
      <c r="M6" s="45"/>
      <c r="N6" s="10" t="s">
        <v>9</v>
      </c>
      <c r="O6" s="3" t="s">
        <v>10</v>
      </c>
      <c r="P6" s="3" t="s">
        <v>11</v>
      </c>
      <c r="Q6" s="3" t="s">
        <v>12</v>
      </c>
      <c r="R6" s="3" t="s">
        <v>12</v>
      </c>
    </row>
    <row r="7" spans="1:18" ht="18" customHeight="1" thickBot="1">
      <c r="A7" s="30" t="s">
        <v>13</v>
      </c>
      <c r="B7" s="48" t="s">
        <v>14</v>
      </c>
      <c r="C7" s="49" t="s">
        <v>15</v>
      </c>
      <c r="D7" s="50" t="s">
        <v>16</v>
      </c>
      <c r="E7" s="47" t="s">
        <v>17</v>
      </c>
      <c r="F7" s="48" t="s">
        <v>16</v>
      </c>
      <c r="G7" s="51" t="s">
        <v>18</v>
      </c>
      <c r="H7" s="49" t="s">
        <v>19</v>
      </c>
      <c r="I7" s="48" t="s">
        <v>16</v>
      </c>
      <c r="J7" s="51" t="s">
        <v>18</v>
      </c>
      <c r="K7" s="49" t="s">
        <v>19</v>
      </c>
      <c r="L7" s="48" t="s">
        <v>16</v>
      </c>
      <c r="M7" s="7" t="s">
        <v>20</v>
      </c>
      <c r="N7" s="47" t="s">
        <v>132</v>
      </c>
      <c r="O7" s="11" t="s">
        <v>21</v>
      </c>
      <c r="P7" s="11" t="s">
        <v>130</v>
      </c>
      <c r="Q7" s="11" t="s">
        <v>10</v>
      </c>
      <c r="R7" s="4" t="s">
        <v>22</v>
      </c>
    </row>
    <row r="8" spans="1:18" ht="15" customHeight="1">
      <c r="A8" s="60" t="s">
        <v>125</v>
      </c>
      <c r="B8" s="61"/>
      <c r="C8" s="62">
        <v>0</v>
      </c>
      <c r="D8" s="63">
        <v>1.75</v>
      </c>
      <c r="E8" s="137">
        <v>1000</v>
      </c>
      <c r="F8" s="65"/>
      <c r="G8" s="66"/>
      <c r="H8" s="67"/>
      <c r="I8" s="65"/>
      <c r="J8" s="66"/>
      <c r="K8" s="67"/>
      <c r="L8" s="61"/>
      <c r="M8" s="7"/>
      <c r="N8" s="5">
        <f>C8 +(D8*13)</f>
        <v>22.75</v>
      </c>
      <c r="O8" s="5">
        <v>11.78</v>
      </c>
      <c r="P8" s="5">
        <f>5.61*13</f>
        <v>72.930000000000007</v>
      </c>
      <c r="Q8" s="5">
        <f>O8+P8</f>
        <v>84.710000000000008</v>
      </c>
      <c r="R8" s="138">
        <f>N8+Q8</f>
        <v>107.46000000000001</v>
      </c>
    </row>
    <row r="9" spans="1:18">
      <c r="A9" s="69" t="s">
        <v>78</v>
      </c>
      <c r="B9" s="70"/>
      <c r="C9" s="71">
        <v>1.5</v>
      </c>
      <c r="D9" s="72">
        <v>3</v>
      </c>
      <c r="E9" s="137">
        <v>1000</v>
      </c>
      <c r="F9" s="70"/>
      <c r="G9" s="73"/>
      <c r="H9" s="74"/>
      <c r="I9" s="75"/>
      <c r="J9" s="73"/>
      <c r="K9" s="74"/>
      <c r="L9" s="70"/>
      <c r="M9" s="7"/>
      <c r="N9" s="5">
        <f t="shared" ref="N9:N33" si="0">C9 +(D9*13)</f>
        <v>40.5</v>
      </c>
      <c r="O9" s="5">
        <v>11.78</v>
      </c>
      <c r="P9" s="5">
        <f t="shared" ref="P9:P33" si="1">5.61*13</f>
        <v>72.930000000000007</v>
      </c>
      <c r="Q9" s="5">
        <f t="shared" ref="Q9:Q33" si="2">O9+P9</f>
        <v>84.710000000000008</v>
      </c>
      <c r="R9" s="138">
        <f t="shared" ref="R9:R33" si="3">N9+Q9</f>
        <v>125.21000000000001</v>
      </c>
    </row>
    <row r="10" spans="1:18">
      <c r="A10" s="69" t="s">
        <v>44</v>
      </c>
      <c r="B10" s="70"/>
      <c r="C10" s="71">
        <v>1.5</v>
      </c>
      <c r="D10" s="72">
        <v>4.5</v>
      </c>
      <c r="E10" s="137">
        <v>1000</v>
      </c>
      <c r="F10" s="70"/>
      <c r="G10" s="73"/>
      <c r="H10" s="74"/>
      <c r="I10" s="75"/>
      <c r="J10" s="73"/>
      <c r="K10" s="74"/>
      <c r="L10" s="70"/>
      <c r="M10" s="7"/>
      <c r="N10" s="5">
        <f t="shared" si="0"/>
        <v>60</v>
      </c>
      <c r="O10" s="5">
        <v>11.78</v>
      </c>
      <c r="P10" s="5">
        <f t="shared" si="1"/>
        <v>72.930000000000007</v>
      </c>
      <c r="Q10" s="5">
        <f t="shared" si="2"/>
        <v>84.710000000000008</v>
      </c>
      <c r="R10" s="138">
        <f t="shared" si="3"/>
        <v>144.71</v>
      </c>
    </row>
    <row r="11" spans="1:18">
      <c r="A11" s="69" t="s">
        <v>86</v>
      </c>
      <c r="B11" s="70"/>
      <c r="C11" s="71">
        <v>1.5</v>
      </c>
      <c r="D11" s="72">
        <v>3.5</v>
      </c>
      <c r="E11" s="137">
        <v>1000</v>
      </c>
      <c r="F11" s="70"/>
      <c r="G11" s="73"/>
      <c r="H11" s="74"/>
      <c r="I11" s="75"/>
      <c r="J11" s="73"/>
      <c r="K11" s="74"/>
      <c r="L11" s="70"/>
      <c r="M11" s="7"/>
      <c r="N11" s="5">
        <f t="shared" si="0"/>
        <v>47</v>
      </c>
      <c r="O11" s="5">
        <v>11.78</v>
      </c>
      <c r="P11" s="5">
        <f t="shared" si="1"/>
        <v>72.930000000000007</v>
      </c>
      <c r="Q11" s="5">
        <f t="shared" si="2"/>
        <v>84.710000000000008</v>
      </c>
      <c r="R11" s="138">
        <f t="shared" si="3"/>
        <v>131.71</v>
      </c>
    </row>
    <row r="12" spans="1:18">
      <c r="A12" s="69" t="s">
        <v>23</v>
      </c>
      <c r="B12" s="70"/>
      <c r="C12" s="71">
        <v>0</v>
      </c>
      <c r="D12" s="72">
        <f>68-11.78-(8*5.61)</f>
        <v>11.339999999999996</v>
      </c>
      <c r="E12" s="137">
        <v>8000</v>
      </c>
      <c r="F12" s="70">
        <f>8.5-5.61</f>
        <v>2.8899999999999997</v>
      </c>
      <c r="G12" s="73">
        <v>8001</v>
      </c>
      <c r="H12" s="74"/>
      <c r="I12" s="75"/>
      <c r="J12" s="73"/>
      <c r="K12" s="74"/>
      <c r="L12" s="70"/>
      <c r="M12" s="7"/>
      <c r="N12" s="5">
        <f>D12+(F12*5)</f>
        <v>25.789999999999996</v>
      </c>
      <c r="O12" s="5">
        <v>11.78</v>
      </c>
      <c r="P12" s="5">
        <f t="shared" si="1"/>
        <v>72.930000000000007</v>
      </c>
      <c r="Q12" s="5">
        <f t="shared" si="2"/>
        <v>84.710000000000008</v>
      </c>
      <c r="R12" s="138">
        <f t="shared" si="3"/>
        <v>110.5</v>
      </c>
    </row>
    <row r="13" spans="1:18">
      <c r="A13" s="69" t="s">
        <v>77</v>
      </c>
      <c r="B13" s="70"/>
      <c r="C13" s="71">
        <v>5.31</v>
      </c>
      <c r="D13" s="139">
        <v>2.5299999999999998</v>
      </c>
      <c r="E13" s="137">
        <v>1000</v>
      </c>
      <c r="F13" s="70"/>
      <c r="G13" s="73"/>
      <c r="H13" s="74"/>
      <c r="I13" s="75"/>
      <c r="J13" s="73"/>
      <c r="K13" s="74"/>
      <c r="L13" s="70"/>
      <c r="M13" s="7"/>
      <c r="N13" s="5">
        <f t="shared" si="0"/>
        <v>38.200000000000003</v>
      </c>
      <c r="O13" s="5">
        <v>11.78</v>
      </c>
      <c r="P13" s="5">
        <f t="shared" si="1"/>
        <v>72.930000000000007</v>
      </c>
      <c r="Q13" s="5">
        <f t="shared" si="2"/>
        <v>84.710000000000008</v>
      </c>
      <c r="R13" s="138">
        <f t="shared" si="3"/>
        <v>122.91000000000001</v>
      </c>
    </row>
    <row r="14" spans="1:18">
      <c r="A14" s="86" t="s">
        <v>109</v>
      </c>
      <c r="B14" s="70"/>
      <c r="C14" s="71">
        <v>1.5</v>
      </c>
      <c r="D14" s="72">
        <v>4.7</v>
      </c>
      <c r="E14" s="137">
        <v>1000</v>
      </c>
      <c r="F14" s="70"/>
      <c r="G14" s="73"/>
      <c r="H14" s="74"/>
      <c r="I14" s="75"/>
      <c r="J14" s="73"/>
      <c r="K14" s="74"/>
      <c r="L14" s="140">
        <v>0.03</v>
      </c>
      <c r="M14" s="72">
        <f>(N14+Q14)*0.03</f>
        <v>4.4192999999999998</v>
      </c>
      <c r="N14" s="5">
        <f t="shared" si="0"/>
        <v>62.6</v>
      </c>
      <c r="O14" s="5">
        <v>11.78</v>
      </c>
      <c r="P14" s="5">
        <f t="shared" si="1"/>
        <v>72.930000000000007</v>
      </c>
      <c r="Q14" s="5">
        <f t="shared" si="2"/>
        <v>84.710000000000008</v>
      </c>
      <c r="R14" s="138">
        <f>N14+Q14+M14</f>
        <v>151.72929999999999</v>
      </c>
    </row>
    <row r="15" spans="1:18">
      <c r="A15" s="69" t="s">
        <v>76</v>
      </c>
      <c r="B15" s="70"/>
      <c r="C15" s="71">
        <v>0</v>
      </c>
      <c r="D15" s="72">
        <v>4.75</v>
      </c>
      <c r="E15" s="137">
        <v>1000</v>
      </c>
      <c r="F15" s="70"/>
      <c r="G15" s="73"/>
      <c r="H15" s="74"/>
      <c r="I15" s="75"/>
      <c r="J15" s="73"/>
      <c r="K15" s="74"/>
      <c r="L15" s="70"/>
      <c r="M15" s="7"/>
      <c r="N15" s="5">
        <f t="shared" si="0"/>
        <v>61.75</v>
      </c>
      <c r="O15" s="5">
        <v>11.78</v>
      </c>
      <c r="P15" s="5">
        <f t="shared" si="1"/>
        <v>72.930000000000007</v>
      </c>
      <c r="Q15" s="5">
        <f t="shared" si="2"/>
        <v>84.710000000000008</v>
      </c>
      <c r="R15" s="138">
        <f t="shared" si="3"/>
        <v>146.46</v>
      </c>
    </row>
    <row r="16" spans="1:18">
      <c r="A16" s="69" t="s">
        <v>85</v>
      </c>
      <c r="B16" s="70"/>
      <c r="C16" s="71"/>
      <c r="D16" s="72">
        <f>21.24-3.93-(2*5.61)</f>
        <v>6.0899999999999981</v>
      </c>
      <c r="E16" s="137">
        <v>2000</v>
      </c>
      <c r="F16" s="70">
        <f>10.62-5.61</f>
        <v>5.0099999999999989</v>
      </c>
      <c r="G16" s="73">
        <v>2001</v>
      </c>
      <c r="H16" s="74"/>
      <c r="I16" s="75"/>
      <c r="J16" s="73"/>
      <c r="K16" s="74"/>
      <c r="L16" s="70"/>
      <c r="M16" s="7"/>
      <c r="N16" s="5">
        <f t="shared" si="0"/>
        <v>79.169999999999973</v>
      </c>
      <c r="O16" s="5">
        <v>11.78</v>
      </c>
      <c r="P16" s="5">
        <f t="shared" si="1"/>
        <v>72.930000000000007</v>
      </c>
      <c r="Q16" s="5">
        <f t="shared" si="2"/>
        <v>84.710000000000008</v>
      </c>
      <c r="R16" s="138">
        <f t="shared" si="3"/>
        <v>163.88</v>
      </c>
    </row>
    <row r="17" spans="1:18">
      <c r="A17" s="69" t="s">
        <v>91</v>
      </c>
      <c r="B17" s="70"/>
      <c r="C17" s="71">
        <v>0</v>
      </c>
      <c r="D17" s="72">
        <v>0.7</v>
      </c>
      <c r="E17" s="137">
        <v>1000</v>
      </c>
      <c r="F17" s="70"/>
      <c r="G17" s="73"/>
      <c r="H17" s="74"/>
      <c r="I17" s="75"/>
      <c r="J17" s="73"/>
      <c r="K17" s="74"/>
      <c r="L17" s="70"/>
      <c r="M17" s="7"/>
      <c r="N17" s="5">
        <f t="shared" si="0"/>
        <v>9.1</v>
      </c>
      <c r="O17" s="5">
        <v>11.78</v>
      </c>
      <c r="P17" s="5">
        <f t="shared" si="1"/>
        <v>72.930000000000007</v>
      </c>
      <c r="Q17" s="5">
        <f t="shared" si="2"/>
        <v>84.710000000000008</v>
      </c>
      <c r="R17" s="138">
        <f t="shared" si="3"/>
        <v>93.81</v>
      </c>
    </row>
    <row r="18" spans="1:18">
      <c r="A18" s="69" t="s">
        <v>82</v>
      </c>
      <c r="B18" s="70"/>
      <c r="C18" s="71">
        <v>0</v>
      </c>
      <c r="D18" s="72">
        <f>49.8*3-Q18</f>
        <v>64.689999999999969</v>
      </c>
      <c r="E18" s="137" t="s">
        <v>25</v>
      </c>
      <c r="F18" s="141" t="s">
        <v>26</v>
      </c>
      <c r="G18" s="73"/>
      <c r="H18" s="74"/>
      <c r="I18" s="75"/>
      <c r="J18" s="73"/>
      <c r="K18" s="74"/>
      <c r="L18" s="70"/>
      <c r="M18" s="7"/>
      <c r="N18" s="5">
        <f>D18</f>
        <v>64.689999999999969</v>
      </c>
      <c r="O18" s="5">
        <v>11.78</v>
      </c>
      <c r="P18" s="5">
        <f t="shared" si="1"/>
        <v>72.930000000000007</v>
      </c>
      <c r="Q18" s="5">
        <f t="shared" si="2"/>
        <v>84.710000000000008</v>
      </c>
      <c r="R18" s="138">
        <f t="shared" si="3"/>
        <v>149.39999999999998</v>
      </c>
    </row>
    <row r="19" spans="1:18">
      <c r="A19" s="69" t="s">
        <v>111</v>
      </c>
      <c r="B19" s="70"/>
      <c r="C19" s="71">
        <v>4.5</v>
      </c>
      <c r="D19" s="72">
        <f>70.2-11.78-(6*5.61)</f>
        <v>24.759999999999998</v>
      </c>
      <c r="E19" s="137">
        <v>6000</v>
      </c>
      <c r="F19" s="70">
        <f>11.7-5.61</f>
        <v>6.089999999999999</v>
      </c>
      <c r="G19" s="73">
        <v>6001</v>
      </c>
      <c r="H19" s="74"/>
      <c r="I19" s="75"/>
      <c r="J19" s="73"/>
      <c r="K19" s="74"/>
      <c r="L19" s="70"/>
      <c r="M19" s="7"/>
      <c r="N19" s="5">
        <f>C19+D19+(F19*6)</f>
        <v>65.799999999999983</v>
      </c>
      <c r="O19" s="5">
        <v>11.78</v>
      </c>
      <c r="P19" s="5">
        <f t="shared" si="1"/>
        <v>72.930000000000007</v>
      </c>
      <c r="Q19" s="5">
        <f t="shared" si="2"/>
        <v>84.710000000000008</v>
      </c>
      <c r="R19" s="138">
        <f>N19+Q19</f>
        <v>150.51</v>
      </c>
    </row>
    <row r="20" spans="1:18">
      <c r="A20" s="69" t="s">
        <v>123</v>
      </c>
      <c r="B20" s="77"/>
      <c r="C20" s="78">
        <f>15-11.78</f>
        <v>3.2200000000000006</v>
      </c>
      <c r="D20" s="79">
        <f>12.82-5.61</f>
        <v>7.21</v>
      </c>
      <c r="E20" s="142">
        <v>1000</v>
      </c>
      <c r="F20" s="77"/>
      <c r="G20" s="80"/>
      <c r="H20" s="81"/>
      <c r="I20" s="82"/>
      <c r="J20" s="80"/>
      <c r="K20" s="81"/>
      <c r="L20" s="77"/>
      <c r="M20" s="7"/>
      <c r="N20" s="5">
        <f t="shared" si="0"/>
        <v>96.95</v>
      </c>
      <c r="O20" s="5">
        <v>11.78</v>
      </c>
      <c r="P20" s="5">
        <f t="shared" si="1"/>
        <v>72.930000000000007</v>
      </c>
      <c r="Q20" s="5">
        <f t="shared" si="2"/>
        <v>84.710000000000008</v>
      </c>
      <c r="R20" s="138">
        <f t="shared" si="3"/>
        <v>181.66000000000003</v>
      </c>
    </row>
    <row r="21" spans="1:18">
      <c r="A21" s="76" t="s">
        <v>27</v>
      </c>
      <c r="B21" s="70"/>
      <c r="C21" s="72">
        <v>0</v>
      </c>
      <c r="D21" s="5">
        <f>74.02-11.78-(3*5.61)</f>
        <v>45.41</v>
      </c>
      <c r="E21" s="142">
        <v>3000</v>
      </c>
      <c r="F21" s="70">
        <f>7.45-5.61</f>
        <v>1.8399999999999999</v>
      </c>
      <c r="G21" s="73">
        <v>3001</v>
      </c>
      <c r="H21" s="7"/>
      <c r="I21" s="75"/>
      <c r="J21" s="73"/>
      <c r="K21" s="7"/>
      <c r="L21" s="70"/>
      <c r="M21" s="7"/>
      <c r="N21" s="5">
        <f>D21 +(F21*10)</f>
        <v>63.809999999999995</v>
      </c>
      <c r="O21" s="5">
        <v>11.78</v>
      </c>
      <c r="P21" s="5">
        <f t="shared" si="1"/>
        <v>72.930000000000007</v>
      </c>
      <c r="Q21" s="5">
        <f t="shared" si="2"/>
        <v>84.710000000000008</v>
      </c>
      <c r="R21" s="138">
        <f t="shared" si="3"/>
        <v>148.52000000000001</v>
      </c>
    </row>
    <row r="22" spans="1:18">
      <c r="A22" s="76" t="s">
        <v>127</v>
      </c>
      <c r="B22" s="70"/>
      <c r="C22" s="72">
        <v>2.5</v>
      </c>
      <c r="D22" s="5">
        <v>2.5</v>
      </c>
      <c r="E22" s="137">
        <v>1000</v>
      </c>
      <c r="F22" s="85"/>
      <c r="G22" s="83"/>
      <c r="H22" s="84"/>
      <c r="I22" s="85"/>
      <c r="J22" s="83"/>
      <c r="K22" s="84"/>
      <c r="L22" s="85"/>
      <c r="M22" s="84"/>
      <c r="N22" s="5">
        <f t="shared" si="0"/>
        <v>35</v>
      </c>
      <c r="O22" s="5">
        <v>11.78</v>
      </c>
      <c r="P22" s="5">
        <f t="shared" si="1"/>
        <v>72.930000000000007</v>
      </c>
      <c r="Q22" s="5">
        <f t="shared" si="2"/>
        <v>84.710000000000008</v>
      </c>
      <c r="R22" s="138">
        <f t="shared" si="3"/>
        <v>119.71000000000001</v>
      </c>
    </row>
    <row r="23" spans="1:18" ht="30" customHeight="1">
      <c r="A23" s="76" t="s">
        <v>28</v>
      </c>
      <c r="B23" s="70">
        <v>0</v>
      </c>
      <c r="C23" s="72"/>
      <c r="D23" s="5">
        <v>3.72</v>
      </c>
      <c r="E23" s="137">
        <v>1000</v>
      </c>
      <c r="F23" s="85"/>
      <c r="G23" s="83"/>
      <c r="H23" s="84"/>
      <c r="I23" s="85"/>
      <c r="J23" s="83"/>
      <c r="K23" s="84"/>
      <c r="L23" s="85"/>
      <c r="M23" s="84"/>
      <c r="N23" s="5">
        <f t="shared" si="0"/>
        <v>48.36</v>
      </c>
      <c r="O23" s="5">
        <v>11.78</v>
      </c>
      <c r="P23" s="5">
        <f t="shared" si="1"/>
        <v>72.930000000000007</v>
      </c>
      <c r="Q23" s="5">
        <f t="shared" si="2"/>
        <v>84.710000000000008</v>
      </c>
      <c r="R23" s="138">
        <f t="shared" si="3"/>
        <v>133.07</v>
      </c>
    </row>
    <row r="24" spans="1:18">
      <c r="A24" s="69" t="s">
        <v>112</v>
      </c>
      <c r="B24" s="70">
        <v>0</v>
      </c>
      <c r="C24" s="72"/>
      <c r="D24" s="5">
        <v>30.1</v>
      </c>
      <c r="E24" s="137">
        <v>1870</v>
      </c>
      <c r="F24" s="85">
        <v>4.0000000000000001E-3</v>
      </c>
      <c r="G24" s="83">
        <v>1871</v>
      </c>
      <c r="H24" s="84"/>
      <c r="I24" s="85"/>
      <c r="J24" s="83"/>
      <c r="K24" s="84"/>
      <c r="L24" s="85"/>
      <c r="M24" s="84"/>
      <c r="N24" s="5">
        <v>30.77</v>
      </c>
      <c r="O24" s="5">
        <v>11.78</v>
      </c>
      <c r="P24" s="5">
        <f t="shared" si="1"/>
        <v>72.930000000000007</v>
      </c>
      <c r="Q24" s="5">
        <f t="shared" si="2"/>
        <v>84.710000000000008</v>
      </c>
      <c r="R24" s="138">
        <f t="shared" si="3"/>
        <v>115.48</v>
      </c>
    </row>
    <row r="25" spans="1:18">
      <c r="A25" s="69" t="s">
        <v>75</v>
      </c>
      <c r="B25" s="70"/>
      <c r="C25" s="71">
        <f>(3.54)+1.5</f>
        <v>5.04</v>
      </c>
      <c r="D25" s="72">
        <v>1.68</v>
      </c>
      <c r="E25" s="137">
        <v>1000</v>
      </c>
      <c r="F25" s="85"/>
      <c r="G25" s="83"/>
      <c r="H25" s="84"/>
      <c r="I25" s="85"/>
      <c r="J25" s="83"/>
      <c r="K25" s="84"/>
      <c r="L25" s="85"/>
      <c r="M25" s="84"/>
      <c r="N25" s="5">
        <f t="shared" si="0"/>
        <v>26.88</v>
      </c>
      <c r="O25" s="5">
        <v>11.78</v>
      </c>
      <c r="P25" s="5">
        <f t="shared" si="1"/>
        <v>72.930000000000007</v>
      </c>
      <c r="Q25" s="5">
        <f t="shared" si="2"/>
        <v>84.710000000000008</v>
      </c>
      <c r="R25" s="138">
        <f t="shared" si="3"/>
        <v>111.59</v>
      </c>
    </row>
    <row r="26" spans="1:18">
      <c r="A26" s="69" t="s">
        <v>128</v>
      </c>
      <c r="B26" s="70" t="s">
        <v>24</v>
      </c>
      <c r="C26" s="72">
        <f>11.78-10.61</f>
        <v>1.17</v>
      </c>
      <c r="D26" s="5">
        <f>5.61-5.05</f>
        <v>0.5600000000000005</v>
      </c>
      <c r="E26" s="137">
        <v>1000</v>
      </c>
      <c r="F26" s="85"/>
      <c r="G26" s="83"/>
      <c r="H26" s="84"/>
      <c r="I26" s="85"/>
      <c r="J26" s="83"/>
      <c r="K26" s="84"/>
      <c r="L26" s="85"/>
      <c r="M26" s="84"/>
      <c r="N26" s="5">
        <f t="shared" si="0"/>
        <v>8.4500000000000064</v>
      </c>
      <c r="O26" s="5">
        <v>11.78</v>
      </c>
      <c r="P26" s="5">
        <f t="shared" si="1"/>
        <v>72.930000000000007</v>
      </c>
      <c r="Q26" s="5">
        <f t="shared" si="2"/>
        <v>84.710000000000008</v>
      </c>
      <c r="R26" s="138">
        <f t="shared" si="3"/>
        <v>93.160000000000011</v>
      </c>
    </row>
    <row r="27" spans="1:18" s="19" customFormat="1">
      <c r="A27" s="69" t="s">
        <v>29</v>
      </c>
      <c r="B27" s="70"/>
      <c r="C27" s="72">
        <f>12-11.78</f>
        <v>0.22000000000000064</v>
      </c>
      <c r="D27" s="5">
        <f>78.48-(6*5.61)</f>
        <v>44.82</v>
      </c>
      <c r="E27" s="137">
        <v>6000</v>
      </c>
      <c r="F27" s="72">
        <f>5.47-5.61</f>
        <v>-0.14000000000000057</v>
      </c>
      <c r="G27" s="83">
        <v>6001</v>
      </c>
      <c r="H27" s="84"/>
      <c r="I27" s="85"/>
      <c r="J27" s="83"/>
      <c r="K27" s="84"/>
      <c r="L27" s="85"/>
      <c r="M27" s="84"/>
      <c r="N27" s="5">
        <f>C27+D27+(F27*7)</f>
        <v>44.059999999999995</v>
      </c>
      <c r="O27" s="5">
        <v>11.78</v>
      </c>
      <c r="P27" s="5">
        <f t="shared" si="1"/>
        <v>72.930000000000007</v>
      </c>
      <c r="Q27" s="5">
        <f t="shared" si="2"/>
        <v>84.710000000000008</v>
      </c>
      <c r="R27" s="5">
        <f t="shared" si="3"/>
        <v>128.77000000000001</v>
      </c>
    </row>
    <row r="28" spans="1:18">
      <c r="A28" s="69" t="s">
        <v>98</v>
      </c>
      <c r="B28" s="70"/>
      <c r="C28" s="72">
        <v>1.5</v>
      </c>
      <c r="D28" s="5">
        <v>2</v>
      </c>
      <c r="E28" s="137">
        <v>1000</v>
      </c>
      <c r="F28" s="72"/>
      <c r="G28" s="83"/>
      <c r="H28" s="84"/>
      <c r="I28" s="85"/>
      <c r="J28" s="83"/>
      <c r="K28" s="84"/>
      <c r="L28" s="85"/>
      <c r="M28" s="84"/>
      <c r="N28" s="5">
        <f t="shared" si="0"/>
        <v>27.5</v>
      </c>
      <c r="O28" s="5">
        <v>11.78</v>
      </c>
      <c r="P28" s="5">
        <f t="shared" si="1"/>
        <v>72.930000000000007</v>
      </c>
      <c r="Q28" s="5">
        <f t="shared" si="2"/>
        <v>84.710000000000008</v>
      </c>
      <c r="R28" s="138">
        <f t="shared" si="3"/>
        <v>112.21000000000001</v>
      </c>
    </row>
    <row r="29" spans="1:18">
      <c r="A29" s="69" t="s">
        <v>30</v>
      </c>
      <c r="B29" s="70"/>
      <c r="C29" s="72">
        <v>0</v>
      </c>
      <c r="D29" s="5">
        <v>0</v>
      </c>
      <c r="E29" s="137">
        <v>1000</v>
      </c>
      <c r="F29" s="72"/>
      <c r="G29" s="83"/>
      <c r="H29" s="84"/>
      <c r="I29" s="85"/>
      <c r="J29" s="83"/>
      <c r="K29" s="84"/>
      <c r="L29" s="85"/>
      <c r="M29" s="84"/>
      <c r="N29" s="5">
        <f t="shared" si="0"/>
        <v>0</v>
      </c>
      <c r="O29" s="5">
        <v>11.78</v>
      </c>
      <c r="P29" s="5">
        <f t="shared" si="1"/>
        <v>72.930000000000007</v>
      </c>
      <c r="Q29" s="5">
        <f t="shared" si="2"/>
        <v>84.710000000000008</v>
      </c>
      <c r="R29" s="138">
        <f t="shared" si="3"/>
        <v>84.710000000000008</v>
      </c>
    </row>
    <row r="30" spans="1:18">
      <c r="A30" s="86" t="s">
        <v>65</v>
      </c>
      <c r="B30" s="70"/>
      <c r="C30" s="72"/>
      <c r="D30" s="5">
        <f>97.69+1.5-(10*5.61)</f>
        <v>43.089999999999996</v>
      </c>
      <c r="E30" s="137">
        <v>10000</v>
      </c>
      <c r="F30" s="72">
        <v>1.5</v>
      </c>
      <c r="G30" s="83">
        <v>10001</v>
      </c>
      <c r="H30" s="84"/>
      <c r="I30" s="85"/>
      <c r="J30" s="83"/>
      <c r="K30" s="84"/>
      <c r="L30" s="85"/>
      <c r="M30" s="84"/>
      <c r="N30" s="5">
        <f>C30+D30+(F30*3)</f>
        <v>47.589999999999996</v>
      </c>
      <c r="O30" s="5">
        <v>11.78</v>
      </c>
      <c r="P30" s="5">
        <f t="shared" si="1"/>
        <v>72.930000000000007</v>
      </c>
      <c r="Q30" s="5">
        <f t="shared" si="2"/>
        <v>84.710000000000008</v>
      </c>
      <c r="R30" s="138">
        <f t="shared" si="3"/>
        <v>132.30000000000001</v>
      </c>
    </row>
    <row r="31" spans="1:18">
      <c r="A31" s="86" t="s">
        <v>72</v>
      </c>
      <c r="B31" s="70"/>
      <c r="C31" s="72">
        <v>0</v>
      </c>
      <c r="D31" s="5">
        <v>2.5</v>
      </c>
      <c r="E31" s="137">
        <v>1000</v>
      </c>
      <c r="F31" s="72"/>
      <c r="G31" s="83"/>
      <c r="H31" s="84"/>
      <c r="I31" s="85"/>
      <c r="J31" s="83"/>
      <c r="K31" s="84"/>
      <c r="L31" s="85"/>
      <c r="M31" s="84"/>
      <c r="N31" s="5">
        <f t="shared" si="0"/>
        <v>32.5</v>
      </c>
      <c r="O31" s="5">
        <v>11.78</v>
      </c>
      <c r="P31" s="5">
        <f t="shared" si="1"/>
        <v>72.930000000000007</v>
      </c>
      <c r="Q31" s="5">
        <f t="shared" si="2"/>
        <v>84.710000000000008</v>
      </c>
      <c r="R31" s="138">
        <f t="shared" si="3"/>
        <v>117.21000000000001</v>
      </c>
    </row>
    <row r="32" spans="1:18">
      <c r="A32" s="86" t="s">
        <v>73</v>
      </c>
      <c r="B32" s="70"/>
      <c r="C32" s="72">
        <v>1.5</v>
      </c>
      <c r="D32" s="5">
        <v>1.5</v>
      </c>
      <c r="E32" s="137">
        <v>1000</v>
      </c>
      <c r="F32" s="85"/>
      <c r="G32" s="83"/>
      <c r="H32" s="84"/>
      <c r="I32" s="85"/>
      <c r="J32" s="83"/>
      <c r="K32" s="84"/>
      <c r="L32" s="85"/>
      <c r="M32" s="84"/>
      <c r="N32" s="5">
        <f t="shared" si="0"/>
        <v>21</v>
      </c>
      <c r="O32" s="5">
        <v>11.78</v>
      </c>
      <c r="P32" s="5">
        <f t="shared" si="1"/>
        <v>72.930000000000007</v>
      </c>
      <c r="Q32" s="5">
        <f t="shared" si="2"/>
        <v>84.710000000000008</v>
      </c>
      <c r="R32" s="138">
        <f t="shared" si="3"/>
        <v>105.71000000000001</v>
      </c>
    </row>
    <row r="33" spans="1:18" ht="15.75" thickBot="1">
      <c r="A33" s="143" t="s">
        <v>74</v>
      </c>
      <c r="B33" s="144"/>
      <c r="C33" s="145">
        <v>1.5</v>
      </c>
      <c r="D33" s="146">
        <v>3</v>
      </c>
      <c r="E33" s="137">
        <v>1000</v>
      </c>
      <c r="F33" s="147"/>
      <c r="G33" s="148"/>
      <c r="H33" s="149"/>
      <c r="I33" s="147"/>
      <c r="J33" s="148"/>
      <c r="K33" s="149"/>
      <c r="L33" s="147"/>
      <c r="M33" s="149"/>
      <c r="N33" s="5">
        <f t="shared" si="0"/>
        <v>40.5</v>
      </c>
      <c r="O33" s="5">
        <v>11.78</v>
      </c>
      <c r="P33" s="5">
        <f t="shared" si="1"/>
        <v>72.930000000000007</v>
      </c>
      <c r="Q33" s="5">
        <f t="shared" si="2"/>
        <v>84.710000000000008</v>
      </c>
      <c r="R33" s="138">
        <f t="shared" si="3"/>
        <v>125.21000000000001</v>
      </c>
    </row>
    <row r="34" spans="1:18">
      <c r="A34" s="54"/>
      <c r="B34" s="55"/>
      <c r="C34" s="55"/>
      <c r="D34" s="55"/>
      <c r="E34" s="55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7"/>
    </row>
    <row r="35" spans="1:18">
      <c r="A35" s="12" t="s">
        <v>31</v>
      </c>
      <c r="B35" s="8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20"/>
    </row>
    <row r="36" spans="1:18">
      <c r="A36" s="57"/>
      <c r="B36" s="56" t="s">
        <v>32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20"/>
    </row>
    <row r="37" spans="1:18">
      <c r="A37" s="57"/>
      <c r="B37" s="8" t="s">
        <v>108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20"/>
    </row>
    <row r="38" spans="1:18">
      <c r="A38" s="57"/>
      <c r="B38" s="8" t="s">
        <v>33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6"/>
    </row>
    <row r="39" spans="1:18">
      <c r="A39" s="57"/>
      <c r="B39" s="18" t="s">
        <v>114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56"/>
      <c r="P39" s="56"/>
      <c r="Q39" s="56"/>
      <c r="R39" s="20"/>
    </row>
    <row r="40" spans="1:18">
      <c r="A40" s="57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20"/>
    </row>
  </sheetData>
  <sheetProtection formatCells="0" formatColumns="0" formatRows="0"/>
  <pageMargins left="0.7" right="0.7" top="0.75" bottom="0.75" header="0.3" footer="0.3"/>
  <pageSetup paperSize="17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topLeftCell="K1" zoomScaleNormal="100" workbookViewId="0">
      <selection activeCell="S1" sqref="S1:S1048576"/>
    </sheetView>
  </sheetViews>
  <sheetFormatPr defaultRowHeight="15"/>
  <cols>
    <col min="1" max="1" width="28.85546875" style="18" customWidth="1"/>
    <col min="2" max="2" width="9" style="18" customWidth="1"/>
    <col min="3" max="3" width="10.28515625" style="18" customWidth="1"/>
    <col min="4" max="4" width="8.7109375" style="18" customWidth="1"/>
    <col min="5" max="5" width="7.28515625" style="18" customWidth="1"/>
    <col min="6" max="6" width="7.42578125" style="18" customWidth="1"/>
    <col min="7" max="7" width="7.5703125" style="18" customWidth="1"/>
    <col min="8" max="8" width="9.28515625" style="18" customWidth="1"/>
    <col min="9" max="9" width="6.42578125" style="18" customWidth="1"/>
    <col min="10" max="10" width="9.7109375" style="18" customWidth="1"/>
    <col min="11" max="11" width="8.5703125" style="18" customWidth="1"/>
    <col min="12" max="12" width="6.42578125" style="18" customWidth="1"/>
    <col min="13" max="13" width="8.85546875" style="18" customWidth="1"/>
    <col min="14" max="14" width="14.7109375" style="18" customWidth="1"/>
    <col min="15" max="15" width="10.7109375" style="18" bestFit="1" customWidth="1"/>
    <col min="16" max="16" width="16.42578125" style="18" bestFit="1" customWidth="1"/>
    <col min="17" max="17" width="9.85546875" style="18" bestFit="1" customWidth="1"/>
    <col min="18" max="18" width="11.42578125" style="18" bestFit="1" customWidth="1"/>
    <col min="19" max="21" width="9.140625" style="19"/>
    <col min="22" max="22" width="13.85546875" style="19" customWidth="1"/>
    <col min="23" max="16384" width="9.140625" style="18"/>
  </cols>
  <sheetData>
    <row r="1" spans="1:22">
      <c r="B1" s="19">
        <v>2015</v>
      </c>
      <c r="C1" s="19" t="s">
        <v>34</v>
      </c>
      <c r="D1" s="19"/>
      <c r="E1" s="19"/>
      <c r="F1" s="19"/>
    </row>
    <row r="2" spans="1:22">
      <c r="B2" s="19"/>
      <c r="C2" s="19" t="s">
        <v>35</v>
      </c>
      <c r="D2" s="19"/>
      <c r="E2" s="19"/>
      <c r="F2" s="19"/>
    </row>
    <row r="3" spans="1:22">
      <c r="B3" s="13" t="s">
        <v>1</v>
      </c>
    </row>
    <row r="4" spans="1:22">
      <c r="C4" s="13" t="s">
        <v>2</v>
      </c>
      <c r="D4" s="13"/>
    </row>
    <row r="5" spans="1:22" ht="15.75" thickBot="1">
      <c r="B5" s="18" t="s">
        <v>131</v>
      </c>
      <c r="C5" s="13"/>
      <c r="D5" s="13"/>
    </row>
    <row r="6" spans="1:22" s="19" customFormat="1" ht="15.75" customHeight="1" thickBot="1">
      <c r="A6" s="38" t="s">
        <v>3</v>
      </c>
      <c r="B6" s="39" t="s">
        <v>4</v>
      </c>
      <c r="C6" s="39"/>
      <c r="D6" s="40" t="s">
        <v>36</v>
      </c>
      <c r="E6" s="41"/>
      <c r="F6" s="42"/>
      <c r="G6" s="43" t="s">
        <v>6</v>
      </c>
      <c r="H6" s="44"/>
      <c r="I6" s="42"/>
      <c r="J6" s="43" t="s">
        <v>7</v>
      </c>
      <c r="K6" s="44"/>
      <c r="L6" s="42" t="s">
        <v>8</v>
      </c>
      <c r="M6" s="45"/>
      <c r="N6" s="46" t="s">
        <v>37</v>
      </c>
      <c r="O6" s="14" t="s">
        <v>10</v>
      </c>
      <c r="P6" s="14" t="s">
        <v>11</v>
      </c>
      <c r="Q6" s="14" t="s">
        <v>12</v>
      </c>
      <c r="R6" s="14" t="s">
        <v>12</v>
      </c>
    </row>
    <row r="7" spans="1:22" s="19" customFormat="1" ht="15.75" thickBot="1">
      <c r="A7" s="47" t="s">
        <v>13</v>
      </c>
      <c r="B7" s="48" t="s">
        <v>14</v>
      </c>
      <c r="C7" s="49" t="s">
        <v>15</v>
      </c>
      <c r="D7" s="50" t="s">
        <v>16</v>
      </c>
      <c r="E7" s="47" t="s">
        <v>17</v>
      </c>
      <c r="F7" s="48" t="s">
        <v>16</v>
      </c>
      <c r="G7" s="51" t="s">
        <v>18</v>
      </c>
      <c r="H7" s="49" t="s">
        <v>19</v>
      </c>
      <c r="I7" s="48" t="s">
        <v>16</v>
      </c>
      <c r="J7" s="51" t="s">
        <v>18</v>
      </c>
      <c r="K7" s="49" t="s">
        <v>19</v>
      </c>
      <c r="L7" s="48" t="s">
        <v>16</v>
      </c>
      <c r="M7" s="52" t="s">
        <v>20</v>
      </c>
      <c r="N7" s="47" t="s">
        <v>132</v>
      </c>
      <c r="O7" s="15" t="s">
        <v>21</v>
      </c>
      <c r="P7" s="15" t="s">
        <v>130</v>
      </c>
      <c r="Q7" s="15" t="s">
        <v>10</v>
      </c>
      <c r="R7" s="15" t="s">
        <v>22</v>
      </c>
      <c r="S7" s="53"/>
      <c r="T7" s="53"/>
      <c r="U7" s="53"/>
      <c r="V7" s="53"/>
    </row>
    <row r="8" spans="1:22" s="58" customFormat="1">
      <c r="A8" s="60" t="s">
        <v>51</v>
      </c>
      <c r="B8" s="97"/>
      <c r="C8" s="98">
        <v>0</v>
      </c>
      <c r="D8" s="99">
        <v>1.73</v>
      </c>
      <c r="E8" s="100">
        <v>1000</v>
      </c>
      <c r="F8" s="101"/>
      <c r="G8" s="102"/>
      <c r="H8" s="103"/>
      <c r="I8" s="101"/>
      <c r="J8" s="102"/>
      <c r="K8" s="103"/>
      <c r="L8" s="97"/>
      <c r="M8" s="104"/>
      <c r="N8" s="105">
        <f>(C8)+(D8*13)</f>
        <v>22.49</v>
      </c>
      <c r="O8" s="105">
        <v>11.78</v>
      </c>
      <c r="P8" s="105">
        <f>5.61*13</f>
        <v>72.930000000000007</v>
      </c>
      <c r="Q8" s="105">
        <f>O8+P8</f>
        <v>84.710000000000008</v>
      </c>
      <c r="R8" s="105">
        <f>N8+Q8</f>
        <v>107.2</v>
      </c>
      <c r="S8" s="59"/>
      <c r="T8" s="59"/>
      <c r="U8" s="59"/>
      <c r="V8" s="59"/>
    </row>
    <row r="9" spans="1:22" s="58" customFormat="1">
      <c r="A9" s="69" t="s">
        <v>55</v>
      </c>
      <c r="B9" s="106"/>
      <c r="C9" s="107">
        <v>9.9499999999999993</v>
      </c>
      <c r="D9" s="108">
        <v>2.1</v>
      </c>
      <c r="E9" s="109">
        <v>1000</v>
      </c>
      <c r="F9" s="106"/>
      <c r="G9" s="110"/>
      <c r="H9" s="111"/>
      <c r="I9" s="112"/>
      <c r="J9" s="110"/>
      <c r="K9" s="111"/>
      <c r="L9" s="106"/>
      <c r="M9" s="110"/>
      <c r="N9" s="105">
        <f t="shared" ref="N9:N34" si="0">(C9)+(D9*13)</f>
        <v>37.25</v>
      </c>
      <c r="O9" s="105">
        <v>11.78</v>
      </c>
      <c r="P9" s="105">
        <f t="shared" ref="P9:P37" si="1">5.61*13</f>
        <v>72.930000000000007</v>
      </c>
      <c r="Q9" s="105">
        <f t="shared" ref="Q9:Q37" si="2">O9+P9</f>
        <v>84.710000000000008</v>
      </c>
      <c r="R9" s="105">
        <f t="shared" ref="R9:R37" si="3">N9+Q9</f>
        <v>121.96000000000001</v>
      </c>
      <c r="S9" s="59"/>
      <c r="T9" s="59"/>
      <c r="U9" s="59"/>
      <c r="V9" s="59"/>
    </row>
    <row r="10" spans="1:22" s="58" customFormat="1">
      <c r="A10" s="113" t="s">
        <v>103</v>
      </c>
      <c r="B10" s="106"/>
      <c r="C10" s="107">
        <v>2</v>
      </c>
      <c r="D10" s="108">
        <v>2.5</v>
      </c>
      <c r="E10" s="109">
        <v>1000</v>
      </c>
      <c r="F10" s="106" t="s">
        <v>24</v>
      </c>
      <c r="G10" s="110" t="s">
        <v>24</v>
      </c>
      <c r="H10" s="111"/>
      <c r="I10" s="112"/>
      <c r="J10" s="110"/>
      <c r="K10" s="111"/>
      <c r="L10" s="106"/>
      <c r="M10" s="110"/>
      <c r="N10" s="105">
        <f t="shared" si="0"/>
        <v>34.5</v>
      </c>
      <c r="O10" s="105">
        <v>11.78</v>
      </c>
      <c r="P10" s="105">
        <f t="shared" si="1"/>
        <v>72.930000000000007</v>
      </c>
      <c r="Q10" s="105">
        <f t="shared" si="2"/>
        <v>84.710000000000008</v>
      </c>
      <c r="R10" s="105">
        <f t="shared" si="3"/>
        <v>119.21000000000001</v>
      </c>
      <c r="S10" s="59"/>
      <c r="T10" s="59"/>
      <c r="U10" s="59"/>
      <c r="V10" s="59"/>
    </row>
    <row r="11" spans="1:22" s="58" customFormat="1">
      <c r="A11" s="69" t="s">
        <v>38</v>
      </c>
      <c r="B11" s="106"/>
      <c r="C11" s="107">
        <v>0</v>
      </c>
      <c r="D11" s="108">
        <v>0</v>
      </c>
      <c r="E11" s="109">
        <v>1000</v>
      </c>
      <c r="F11" s="106"/>
      <c r="G11" s="110"/>
      <c r="H11" s="111"/>
      <c r="I11" s="112"/>
      <c r="J11" s="110"/>
      <c r="K11" s="111"/>
      <c r="L11" s="106"/>
      <c r="M11" s="110"/>
      <c r="N11" s="105">
        <f t="shared" si="0"/>
        <v>0</v>
      </c>
      <c r="O11" s="105">
        <v>11.78</v>
      </c>
      <c r="P11" s="105">
        <f t="shared" si="1"/>
        <v>72.930000000000007</v>
      </c>
      <c r="Q11" s="105">
        <f t="shared" si="2"/>
        <v>84.710000000000008</v>
      </c>
      <c r="R11" s="105">
        <f t="shared" si="3"/>
        <v>84.710000000000008</v>
      </c>
      <c r="S11" s="59"/>
      <c r="T11" s="59"/>
      <c r="U11" s="59"/>
      <c r="V11" s="59"/>
    </row>
    <row r="12" spans="1:22" s="58" customFormat="1">
      <c r="A12" s="69" t="s">
        <v>126</v>
      </c>
      <c r="B12" s="106"/>
      <c r="C12" s="107">
        <v>0</v>
      </c>
      <c r="D12" s="108">
        <v>5</v>
      </c>
      <c r="E12" s="109">
        <v>1000</v>
      </c>
      <c r="F12" s="106"/>
      <c r="G12" s="110"/>
      <c r="H12" s="111"/>
      <c r="I12" s="112"/>
      <c r="J12" s="110"/>
      <c r="K12" s="111"/>
      <c r="L12" s="106"/>
      <c r="M12" s="110"/>
      <c r="N12" s="105">
        <f t="shared" si="0"/>
        <v>65</v>
      </c>
      <c r="O12" s="105">
        <v>11.78</v>
      </c>
      <c r="P12" s="105">
        <f t="shared" si="1"/>
        <v>72.930000000000007</v>
      </c>
      <c r="Q12" s="105">
        <f t="shared" si="2"/>
        <v>84.710000000000008</v>
      </c>
      <c r="R12" s="105">
        <f t="shared" si="3"/>
        <v>149.71</v>
      </c>
      <c r="S12" s="59"/>
      <c r="T12" s="59"/>
      <c r="U12" s="59"/>
      <c r="V12" s="59"/>
    </row>
    <row r="13" spans="1:22" s="58" customFormat="1">
      <c r="A13" s="69" t="s">
        <v>102</v>
      </c>
      <c r="B13" s="106"/>
      <c r="C13" s="107">
        <v>0</v>
      </c>
      <c r="D13" s="108">
        <f>9.5-5.61</f>
        <v>3.8899999999999997</v>
      </c>
      <c r="E13" s="109">
        <v>1000</v>
      </c>
      <c r="F13" s="106"/>
      <c r="G13" s="110"/>
      <c r="H13" s="111"/>
      <c r="I13" s="112"/>
      <c r="J13" s="110"/>
      <c r="K13" s="111"/>
      <c r="L13" s="106"/>
      <c r="M13" s="110"/>
      <c r="N13" s="105">
        <f t="shared" si="0"/>
        <v>50.569999999999993</v>
      </c>
      <c r="O13" s="105">
        <v>11.78</v>
      </c>
      <c r="P13" s="105">
        <f t="shared" si="1"/>
        <v>72.930000000000007</v>
      </c>
      <c r="Q13" s="105">
        <f t="shared" si="2"/>
        <v>84.710000000000008</v>
      </c>
      <c r="R13" s="105">
        <f t="shared" si="3"/>
        <v>135.28</v>
      </c>
      <c r="S13" s="59"/>
      <c r="T13" s="59"/>
      <c r="U13" s="59"/>
      <c r="V13" s="59"/>
    </row>
    <row r="14" spans="1:22" s="58" customFormat="1">
      <c r="A14" s="69" t="s">
        <v>54</v>
      </c>
      <c r="B14" s="106"/>
      <c r="C14" s="107">
        <v>2</v>
      </c>
      <c r="D14" s="108">
        <v>4.3499999999999996</v>
      </c>
      <c r="E14" s="109">
        <v>1000</v>
      </c>
      <c r="F14" s="106" t="s">
        <v>24</v>
      </c>
      <c r="G14" s="110" t="s">
        <v>24</v>
      </c>
      <c r="H14" s="111"/>
      <c r="I14" s="112"/>
      <c r="J14" s="110"/>
      <c r="K14" s="111"/>
      <c r="L14" s="106"/>
      <c r="M14" s="110"/>
      <c r="N14" s="105">
        <f t="shared" si="0"/>
        <v>58.55</v>
      </c>
      <c r="O14" s="105">
        <v>11.78</v>
      </c>
      <c r="P14" s="105">
        <f t="shared" si="1"/>
        <v>72.930000000000007</v>
      </c>
      <c r="Q14" s="105">
        <f t="shared" si="2"/>
        <v>84.710000000000008</v>
      </c>
      <c r="R14" s="105">
        <f t="shared" si="3"/>
        <v>143.26</v>
      </c>
      <c r="S14" s="59"/>
      <c r="T14" s="59"/>
      <c r="U14" s="59"/>
      <c r="V14" s="59"/>
    </row>
    <row r="15" spans="1:22" s="58" customFormat="1">
      <c r="A15" s="113" t="s">
        <v>99</v>
      </c>
      <c r="B15" s="106"/>
      <c r="C15" s="107">
        <v>6.81</v>
      </c>
      <c r="D15" s="108">
        <v>2.84</v>
      </c>
      <c r="E15" s="109">
        <v>1000</v>
      </c>
      <c r="F15" s="106"/>
      <c r="G15" s="110"/>
      <c r="H15" s="111"/>
      <c r="I15" s="112"/>
      <c r="J15" s="110"/>
      <c r="K15" s="111"/>
      <c r="L15" s="106"/>
      <c r="M15" s="110"/>
      <c r="N15" s="105">
        <f t="shared" si="0"/>
        <v>43.730000000000004</v>
      </c>
      <c r="O15" s="105">
        <v>11.78</v>
      </c>
      <c r="P15" s="105">
        <f t="shared" si="1"/>
        <v>72.930000000000007</v>
      </c>
      <c r="Q15" s="105">
        <f t="shared" si="2"/>
        <v>84.710000000000008</v>
      </c>
      <c r="R15" s="105">
        <f t="shared" si="3"/>
        <v>128.44</v>
      </c>
      <c r="S15" s="59"/>
      <c r="T15" s="59"/>
      <c r="U15" s="59"/>
      <c r="V15" s="59"/>
    </row>
    <row r="16" spans="1:22" s="58" customFormat="1">
      <c r="A16" s="69" t="s">
        <v>122</v>
      </c>
      <c r="B16" s="106"/>
      <c r="C16" s="107">
        <f>24.07-9.07</f>
        <v>15</v>
      </c>
      <c r="D16" s="108">
        <v>7.66</v>
      </c>
      <c r="E16" s="109">
        <v>1000</v>
      </c>
      <c r="F16" s="106" t="s">
        <v>24</v>
      </c>
      <c r="G16" s="114" t="s">
        <v>24</v>
      </c>
      <c r="H16" s="115" t="s">
        <v>24</v>
      </c>
      <c r="I16" s="112" t="s">
        <v>24</v>
      </c>
      <c r="J16" s="114" t="s">
        <v>24</v>
      </c>
      <c r="K16" s="115" t="s">
        <v>24</v>
      </c>
      <c r="L16" s="106" t="s">
        <v>24</v>
      </c>
      <c r="M16" s="114" t="s">
        <v>24</v>
      </c>
      <c r="N16" s="105">
        <f t="shared" si="0"/>
        <v>114.58</v>
      </c>
      <c r="O16" s="105">
        <v>11.78</v>
      </c>
      <c r="P16" s="105">
        <f t="shared" si="1"/>
        <v>72.930000000000007</v>
      </c>
      <c r="Q16" s="105">
        <f t="shared" si="2"/>
        <v>84.710000000000008</v>
      </c>
      <c r="R16" s="105">
        <f t="shared" si="3"/>
        <v>199.29000000000002</v>
      </c>
      <c r="S16" s="59"/>
      <c r="T16" s="59"/>
      <c r="U16" s="59"/>
      <c r="V16" s="59"/>
    </row>
    <row r="17" spans="1:22" s="58" customFormat="1">
      <c r="A17" s="116" t="s">
        <v>61</v>
      </c>
      <c r="B17" s="106"/>
      <c r="C17" s="108">
        <f>(21.25-11.78)+63</f>
        <v>72.47</v>
      </c>
      <c r="D17" s="105">
        <f>6.15-5.78</f>
        <v>0.37000000000000011</v>
      </c>
      <c r="E17" s="109">
        <v>1000</v>
      </c>
      <c r="F17" s="106"/>
      <c r="G17" s="110"/>
      <c r="H17" s="111"/>
      <c r="I17" s="112"/>
      <c r="J17" s="110"/>
      <c r="K17" s="111"/>
      <c r="L17" s="106"/>
      <c r="M17" s="110"/>
      <c r="N17" s="105">
        <f t="shared" si="0"/>
        <v>77.28</v>
      </c>
      <c r="O17" s="105">
        <v>11.78</v>
      </c>
      <c r="P17" s="105">
        <f t="shared" si="1"/>
        <v>72.930000000000007</v>
      </c>
      <c r="Q17" s="105">
        <f t="shared" si="2"/>
        <v>84.710000000000008</v>
      </c>
      <c r="R17" s="105">
        <f t="shared" si="3"/>
        <v>161.99</v>
      </c>
      <c r="S17" s="59"/>
      <c r="T17" s="59"/>
      <c r="U17" s="59"/>
      <c r="V17" s="59"/>
    </row>
    <row r="18" spans="1:22" s="58" customFormat="1">
      <c r="A18" s="116" t="s">
        <v>60</v>
      </c>
      <c r="B18" s="106"/>
      <c r="C18" s="108">
        <f>(21.25-11.78)+27</f>
        <v>36.47</v>
      </c>
      <c r="D18" s="105">
        <f>6.15-5.78</f>
        <v>0.37000000000000011</v>
      </c>
      <c r="E18" s="109">
        <v>1000</v>
      </c>
      <c r="F18" s="106"/>
      <c r="G18" s="110"/>
      <c r="H18" s="111"/>
      <c r="I18" s="112"/>
      <c r="J18" s="110"/>
      <c r="K18" s="111"/>
      <c r="L18" s="106"/>
      <c r="M18" s="110"/>
      <c r="N18" s="105">
        <f t="shared" si="0"/>
        <v>41.28</v>
      </c>
      <c r="O18" s="105">
        <v>11.78</v>
      </c>
      <c r="P18" s="105">
        <f t="shared" si="1"/>
        <v>72.930000000000007</v>
      </c>
      <c r="Q18" s="105">
        <f t="shared" si="2"/>
        <v>84.710000000000008</v>
      </c>
      <c r="R18" s="105">
        <f t="shared" si="3"/>
        <v>125.99000000000001</v>
      </c>
      <c r="S18" s="59"/>
      <c r="T18" s="59"/>
      <c r="U18" s="59"/>
      <c r="V18" s="59"/>
    </row>
    <row r="19" spans="1:22" s="58" customFormat="1">
      <c r="A19" s="117" t="s">
        <v>48</v>
      </c>
      <c r="B19" s="118"/>
      <c r="C19" s="119">
        <v>0</v>
      </c>
      <c r="D19" s="120">
        <v>12.5</v>
      </c>
      <c r="E19" s="121">
        <v>5000</v>
      </c>
      <c r="F19" s="118">
        <v>2.5</v>
      </c>
      <c r="G19" s="122">
        <v>5001</v>
      </c>
      <c r="H19" s="123"/>
      <c r="I19" s="124"/>
      <c r="J19" s="122"/>
      <c r="K19" s="123"/>
      <c r="L19" s="118"/>
      <c r="M19" s="122"/>
      <c r="N19" s="150">
        <f>C19+D19+(F19*8)</f>
        <v>32.5</v>
      </c>
      <c r="O19" s="105">
        <v>11.78</v>
      </c>
      <c r="P19" s="105">
        <f t="shared" si="1"/>
        <v>72.930000000000007</v>
      </c>
      <c r="Q19" s="105">
        <f t="shared" si="2"/>
        <v>84.710000000000008</v>
      </c>
      <c r="R19" s="105">
        <f>N19+Q19</f>
        <v>117.21000000000001</v>
      </c>
      <c r="S19" s="59"/>
      <c r="T19" s="59"/>
      <c r="U19" s="59"/>
      <c r="V19" s="59"/>
    </row>
    <row r="20" spans="1:22" s="58" customFormat="1">
      <c r="A20" s="76" t="s">
        <v>117</v>
      </c>
      <c r="B20" s="106"/>
      <c r="C20" s="108">
        <v>75</v>
      </c>
      <c r="D20" s="105">
        <v>1.25</v>
      </c>
      <c r="E20" s="109">
        <v>1000</v>
      </c>
      <c r="F20" s="106"/>
      <c r="G20" s="110"/>
      <c r="H20" s="125"/>
      <c r="I20" s="112"/>
      <c r="J20" s="110"/>
      <c r="K20" s="125"/>
      <c r="L20" s="106"/>
      <c r="M20" s="125"/>
      <c r="N20" s="105">
        <f t="shared" si="0"/>
        <v>91.25</v>
      </c>
      <c r="O20" s="105">
        <v>11.78</v>
      </c>
      <c r="P20" s="105">
        <f t="shared" si="1"/>
        <v>72.930000000000007</v>
      </c>
      <c r="Q20" s="105">
        <f t="shared" si="2"/>
        <v>84.710000000000008</v>
      </c>
      <c r="R20" s="105">
        <f>N20+Q20</f>
        <v>175.96</v>
      </c>
      <c r="S20" s="59"/>
      <c r="T20" s="59"/>
      <c r="U20" s="59"/>
      <c r="V20" s="59"/>
    </row>
    <row r="21" spans="1:22" s="58" customFormat="1">
      <c r="A21" s="76" t="s">
        <v>118</v>
      </c>
      <c r="B21" s="106"/>
      <c r="C21" s="108">
        <v>50</v>
      </c>
      <c r="D21" s="105">
        <v>1.25</v>
      </c>
      <c r="E21" s="109">
        <v>1000</v>
      </c>
      <c r="F21" s="106"/>
      <c r="G21" s="110"/>
      <c r="H21" s="125"/>
      <c r="I21" s="112"/>
      <c r="J21" s="110"/>
      <c r="K21" s="125"/>
      <c r="L21" s="106"/>
      <c r="M21" s="125"/>
      <c r="N21" s="105">
        <f t="shared" si="0"/>
        <v>66.25</v>
      </c>
      <c r="O21" s="105">
        <v>11.78</v>
      </c>
      <c r="P21" s="105">
        <f t="shared" si="1"/>
        <v>72.930000000000007</v>
      </c>
      <c r="Q21" s="105">
        <f t="shared" si="2"/>
        <v>84.710000000000008</v>
      </c>
      <c r="R21" s="105">
        <f>N21+Q21</f>
        <v>150.96</v>
      </c>
      <c r="S21" s="59"/>
      <c r="T21" s="59"/>
      <c r="U21" s="59"/>
      <c r="V21" s="59"/>
    </row>
    <row r="22" spans="1:22" s="58" customFormat="1">
      <c r="A22" s="76" t="s">
        <v>119</v>
      </c>
      <c r="B22" s="106"/>
      <c r="C22" s="108">
        <v>110</v>
      </c>
      <c r="D22" s="105">
        <v>1.25</v>
      </c>
      <c r="E22" s="109">
        <v>1000</v>
      </c>
      <c r="F22" s="106"/>
      <c r="G22" s="110"/>
      <c r="H22" s="125"/>
      <c r="I22" s="112"/>
      <c r="J22" s="110"/>
      <c r="K22" s="125"/>
      <c r="L22" s="106"/>
      <c r="M22" s="125"/>
      <c r="N22" s="105">
        <f>(C22)+(D22*13)</f>
        <v>126.25</v>
      </c>
      <c r="O22" s="105">
        <v>11.78</v>
      </c>
      <c r="P22" s="105">
        <f t="shared" si="1"/>
        <v>72.930000000000007</v>
      </c>
      <c r="Q22" s="105">
        <f t="shared" si="2"/>
        <v>84.710000000000008</v>
      </c>
      <c r="R22" s="105">
        <f>N22+Q22</f>
        <v>210.96</v>
      </c>
      <c r="S22" s="59"/>
      <c r="T22" s="59"/>
      <c r="U22" s="59"/>
      <c r="V22" s="59"/>
    </row>
    <row r="23" spans="1:22" s="58" customFormat="1">
      <c r="A23" s="76" t="s">
        <v>120</v>
      </c>
      <c r="B23" s="106"/>
      <c r="C23" s="108">
        <v>0</v>
      </c>
      <c r="D23" s="105">
        <v>1.25</v>
      </c>
      <c r="E23" s="109">
        <v>1000</v>
      </c>
      <c r="F23" s="106"/>
      <c r="G23" s="110"/>
      <c r="H23" s="125"/>
      <c r="I23" s="112"/>
      <c r="J23" s="110"/>
      <c r="K23" s="125"/>
      <c r="L23" s="106"/>
      <c r="M23" s="125"/>
      <c r="N23" s="105">
        <f t="shared" si="0"/>
        <v>16.25</v>
      </c>
      <c r="O23" s="105">
        <v>11.78</v>
      </c>
      <c r="P23" s="105">
        <f t="shared" si="1"/>
        <v>72.930000000000007</v>
      </c>
      <c r="Q23" s="105">
        <f>O23+P23</f>
        <v>84.710000000000008</v>
      </c>
      <c r="R23" s="105">
        <f>N23+Q23</f>
        <v>100.96000000000001</v>
      </c>
      <c r="S23" s="59"/>
      <c r="T23" s="59"/>
      <c r="U23" s="59"/>
      <c r="V23" s="59"/>
    </row>
    <row r="24" spans="1:22" s="58" customFormat="1">
      <c r="A24" s="113" t="s">
        <v>106</v>
      </c>
      <c r="B24" s="106"/>
      <c r="C24" s="107">
        <v>2.1</v>
      </c>
      <c r="D24" s="108">
        <v>4</v>
      </c>
      <c r="E24" s="109">
        <v>1000</v>
      </c>
      <c r="F24" s="106"/>
      <c r="G24" s="126"/>
      <c r="H24" s="127"/>
      <c r="I24" s="128"/>
      <c r="J24" s="126"/>
      <c r="K24" s="127"/>
      <c r="L24" s="128"/>
      <c r="M24" s="127"/>
      <c r="N24" s="105">
        <f t="shared" si="0"/>
        <v>54.1</v>
      </c>
      <c r="O24" s="105">
        <v>11.78</v>
      </c>
      <c r="P24" s="105">
        <f t="shared" si="1"/>
        <v>72.930000000000007</v>
      </c>
      <c r="Q24" s="105">
        <f t="shared" si="2"/>
        <v>84.710000000000008</v>
      </c>
      <c r="R24" s="105">
        <f t="shared" si="3"/>
        <v>138.81</v>
      </c>
      <c r="S24" s="59"/>
      <c r="T24" s="59"/>
      <c r="U24" s="59"/>
      <c r="V24" s="59"/>
    </row>
    <row r="25" spans="1:22" s="58" customFormat="1">
      <c r="A25" s="113" t="s">
        <v>59</v>
      </c>
      <c r="B25" s="106"/>
      <c r="C25" s="108">
        <f>21.25-11.78</f>
        <v>9.4700000000000006</v>
      </c>
      <c r="D25" s="105">
        <f>6.15-5.61</f>
        <v>0.54</v>
      </c>
      <c r="E25" s="109">
        <v>1000</v>
      </c>
      <c r="F25" s="106"/>
      <c r="G25" s="126"/>
      <c r="H25" s="127"/>
      <c r="I25" s="128"/>
      <c r="J25" s="126"/>
      <c r="K25" s="127"/>
      <c r="L25" s="128"/>
      <c r="M25" s="127"/>
      <c r="N25" s="105">
        <f t="shared" si="0"/>
        <v>16.490000000000002</v>
      </c>
      <c r="O25" s="105">
        <v>11.78</v>
      </c>
      <c r="P25" s="105">
        <f t="shared" si="1"/>
        <v>72.930000000000007</v>
      </c>
      <c r="Q25" s="105">
        <f t="shared" si="2"/>
        <v>84.710000000000008</v>
      </c>
      <c r="R25" s="105">
        <f t="shared" si="3"/>
        <v>101.20000000000002</v>
      </c>
      <c r="S25" s="59"/>
      <c r="T25" s="59"/>
      <c r="U25" s="59"/>
      <c r="V25" s="59"/>
    </row>
    <row r="26" spans="1:22" s="58" customFormat="1">
      <c r="A26" s="113" t="s">
        <v>49</v>
      </c>
      <c r="B26" s="106"/>
      <c r="C26" s="119">
        <v>0</v>
      </c>
      <c r="D26" s="120">
        <v>12.5</v>
      </c>
      <c r="E26" s="121">
        <v>5000</v>
      </c>
      <c r="F26" s="118">
        <v>2.5</v>
      </c>
      <c r="G26" s="122">
        <v>5001</v>
      </c>
      <c r="H26" s="127"/>
      <c r="I26" s="128"/>
      <c r="J26" s="126"/>
      <c r="K26" s="127"/>
      <c r="L26" s="128"/>
      <c r="M26" s="127"/>
      <c r="N26" s="150">
        <f>C26+D26+(F26*8)</f>
        <v>32.5</v>
      </c>
      <c r="O26" s="105">
        <v>11.78</v>
      </c>
      <c r="P26" s="105">
        <f t="shared" si="1"/>
        <v>72.930000000000007</v>
      </c>
      <c r="Q26" s="105">
        <f t="shared" si="2"/>
        <v>84.710000000000008</v>
      </c>
      <c r="R26" s="105">
        <f t="shared" si="3"/>
        <v>117.21000000000001</v>
      </c>
      <c r="S26" s="59"/>
      <c r="T26" s="59"/>
      <c r="U26" s="59"/>
      <c r="V26" s="59"/>
    </row>
    <row r="27" spans="1:22" s="58" customFormat="1">
      <c r="A27" s="69" t="s">
        <v>69</v>
      </c>
      <c r="B27" s="106"/>
      <c r="C27" s="108"/>
      <c r="D27" s="105">
        <f>(17.3-5.61)*2</f>
        <v>23.380000000000003</v>
      </c>
      <c r="E27" s="109">
        <v>2000</v>
      </c>
      <c r="F27" s="106">
        <f>17.3-5.61</f>
        <v>11.690000000000001</v>
      </c>
      <c r="G27" s="126">
        <v>2001</v>
      </c>
      <c r="H27" s="127"/>
      <c r="I27" s="128"/>
      <c r="J27" s="126"/>
      <c r="K27" s="127"/>
      <c r="L27" s="128"/>
      <c r="M27" s="127"/>
      <c r="N27" s="150">
        <f>(F27*13)</f>
        <v>151.97000000000003</v>
      </c>
      <c r="O27" s="105">
        <v>11.78</v>
      </c>
      <c r="P27" s="105">
        <f t="shared" si="1"/>
        <v>72.930000000000007</v>
      </c>
      <c r="Q27" s="105">
        <f t="shared" si="2"/>
        <v>84.710000000000008</v>
      </c>
      <c r="R27" s="105">
        <f t="shared" si="3"/>
        <v>236.68000000000004</v>
      </c>
      <c r="S27" s="59"/>
      <c r="T27" s="59"/>
      <c r="U27" s="59"/>
      <c r="V27" s="59"/>
    </row>
    <row r="28" spans="1:22" s="58" customFormat="1">
      <c r="A28" s="113" t="s">
        <v>121</v>
      </c>
      <c r="B28" s="106"/>
      <c r="C28" s="108">
        <v>5.35</v>
      </c>
      <c r="D28" s="105">
        <v>1.85</v>
      </c>
      <c r="E28" s="109">
        <v>1000</v>
      </c>
      <c r="F28" s="106"/>
      <c r="G28" s="126"/>
      <c r="H28" s="127"/>
      <c r="I28" s="128"/>
      <c r="J28" s="126"/>
      <c r="K28" s="127"/>
      <c r="L28" s="128"/>
      <c r="M28" s="127"/>
      <c r="N28" s="105">
        <f t="shared" si="0"/>
        <v>29.4</v>
      </c>
      <c r="O28" s="105">
        <v>11.78</v>
      </c>
      <c r="P28" s="105">
        <f t="shared" si="1"/>
        <v>72.930000000000007</v>
      </c>
      <c r="Q28" s="105">
        <f t="shared" si="2"/>
        <v>84.710000000000008</v>
      </c>
      <c r="R28" s="105">
        <f t="shared" si="3"/>
        <v>114.11000000000001</v>
      </c>
      <c r="S28" s="59"/>
      <c r="T28" s="59"/>
      <c r="U28" s="59"/>
      <c r="V28" s="59"/>
    </row>
    <row r="29" spans="1:22" s="58" customFormat="1">
      <c r="A29" s="69" t="s">
        <v>96</v>
      </c>
      <c r="B29" s="106"/>
      <c r="C29" s="108">
        <v>0</v>
      </c>
      <c r="D29" s="105">
        <v>45.87</v>
      </c>
      <c r="E29" s="109">
        <v>10000</v>
      </c>
      <c r="F29" s="106">
        <f>7.09-5.61</f>
        <v>1.4799999999999995</v>
      </c>
      <c r="G29" s="126">
        <v>10001</v>
      </c>
      <c r="H29" s="127"/>
      <c r="I29" s="106"/>
      <c r="J29" s="126"/>
      <c r="K29" s="127"/>
      <c r="L29" s="128"/>
      <c r="M29" s="126"/>
      <c r="N29" s="105">
        <f>D29+(F29*3)</f>
        <v>50.309999999999995</v>
      </c>
      <c r="O29" s="105">
        <v>11.78</v>
      </c>
      <c r="P29" s="105">
        <f t="shared" si="1"/>
        <v>72.930000000000007</v>
      </c>
      <c r="Q29" s="105">
        <f t="shared" si="2"/>
        <v>84.710000000000008</v>
      </c>
      <c r="R29" s="105">
        <f t="shared" si="3"/>
        <v>135.02000000000001</v>
      </c>
      <c r="S29" s="59"/>
      <c r="T29" s="59"/>
      <c r="U29" s="59"/>
      <c r="V29" s="59"/>
    </row>
    <row r="30" spans="1:22" s="58" customFormat="1">
      <c r="A30" s="69" t="s">
        <v>28</v>
      </c>
      <c r="B30" s="106">
        <v>0</v>
      </c>
      <c r="C30" s="108"/>
      <c r="D30" s="105">
        <v>3.82</v>
      </c>
      <c r="E30" s="109">
        <v>1000</v>
      </c>
      <c r="F30" s="106"/>
      <c r="G30" s="126"/>
      <c r="H30" s="127"/>
      <c r="I30" s="128"/>
      <c r="J30" s="126"/>
      <c r="K30" s="127"/>
      <c r="L30" s="128"/>
      <c r="M30" s="127"/>
      <c r="N30" s="105">
        <f t="shared" si="0"/>
        <v>49.66</v>
      </c>
      <c r="O30" s="105">
        <v>11.78</v>
      </c>
      <c r="P30" s="105">
        <f t="shared" si="1"/>
        <v>72.930000000000007</v>
      </c>
      <c r="Q30" s="105">
        <f t="shared" si="2"/>
        <v>84.710000000000008</v>
      </c>
      <c r="R30" s="105">
        <f t="shared" si="3"/>
        <v>134.37</v>
      </c>
      <c r="S30" s="59"/>
      <c r="T30" s="59"/>
      <c r="U30" s="59"/>
      <c r="V30" s="59"/>
    </row>
    <row r="31" spans="1:22" s="58" customFormat="1">
      <c r="A31" s="113" t="s">
        <v>52</v>
      </c>
      <c r="B31" s="106"/>
      <c r="C31" s="108">
        <v>11.78</v>
      </c>
      <c r="D31" s="105">
        <f>4*(7.13-5.61)</f>
        <v>6.0799999999999983</v>
      </c>
      <c r="E31" s="109">
        <v>4000</v>
      </c>
      <c r="F31" s="106">
        <f>7.13-5.61</f>
        <v>1.5199999999999996</v>
      </c>
      <c r="G31" s="126">
        <v>4001</v>
      </c>
      <c r="H31" s="127"/>
      <c r="I31" s="128"/>
      <c r="J31" s="126"/>
      <c r="K31" s="127"/>
      <c r="L31" s="128"/>
      <c r="M31" s="127"/>
      <c r="N31" s="150">
        <f>C31+D31+(F31*9)</f>
        <v>31.539999999999996</v>
      </c>
      <c r="O31" s="105">
        <v>11.78</v>
      </c>
      <c r="P31" s="105">
        <f t="shared" si="1"/>
        <v>72.930000000000007</v>
      </c>
      <c r="Q31" s="105">
        <f t="shared" si="2"/>
        <v>84.710000000000008</v>
      </c>
      <c r="R31" s="105">
        <f t="shared" si="3"/>
        <v>116.25</v>
      </c>
      <c r="S31" s="59"/>
      <c r="T31" s="59"/>
      <c r="U31" s="59"/>
      <c r="V31" s="59"/>
    </row>
    <row r="32" spans="1:22" s="58" customFormat="1">
      <c r="A32" s="113" t="s">
        <v>53</v>
      </c>
      <c r="B32" s="106"/>
      <c r="C32" s="108">
        <v>11.78</v>
      </c>
      <c r="D32" s="105">
        <f>4*(7.61-5.61)+(4*1.1)</f>
        <v>12.4</v>
      </c>
      <c r="E32" s="109">
        <v>4000</v>
      </c>
      <c r="F32" s="106">
        <v>2.63</v>
      </c>
      <c r="G32" s="126">
        <v>4001</v>
      </c>
      <c r="H32" s="127"/>
      <c r="I32" s="128"/>
      <c r="J32" s="126"/>
      <c r="K32" s="127"/>
      <c r="L32" s="128"/>
      <c r="M32" s="127"/>
      <c r="N32" s="150">
        <f>C32+D32+(F32*9)</f>
        <v>47.849999999999994</v>
      </c>
      <c r="O32" s="105">
        <v>11.78</v>
      </c>
      <c r="P32" s="105">
        <f t="shared" si="1"/>
        <v>72.930000000000007</v>
      </c>
      <c r="Q32" s="105">
        <f t="shared" si="2"/>
        <v>84.710000000000008</v>
      </c>
      <c r="R32" s="105">
        <f t="shared" si="3"/>
        <v>132.56</v>
      </c>
      <c r="S32" s="59"/>
      <c r="T32" s="59"/>
      <c r="U32" s="59"/>
      <c r="V32" s="59"/>
    </row>
    <row r="33" spans="1:22" s="58" customFormat="1">
      <c r="A33" s="69" t="s">
        <v>68</v>
      </c>
      <c r="B33" s="106"/>
      <c r="C33" s="108">
        <v>4.5</v>
      </c>
      <c r="D33" s="105">
        <v>4.5</v>
      </c>
      <c r="E33" s="109">
        <v>1000</v>
      </c>
      <c r="F33" s="106"/>
      <c r="G33" s="126"/>
      <c r="H33" s="127"/>
      <c r="I33" s="128"/>
      <c r="J33" s="126"/>
      <c r="K33" s="127"/>
      <c r="L33" s="128"/>
      <c r="M33" s="127"/>
      <c r="N33" s="105">
        <f t="shared" si="0"/>
        <v>63</v>
      </c>
      <c r="O33" s="105">
        <v>11.78</v>
      </c>
      <c r="P33" s="105">
        <f t="shared" si="1"/>
        <v>72.930000000000007</v>
      </c>
      <c r="Q33" s="105">
        <f t="shared" si="2"/>
        <v>84.710000000000008</v>
      </c>
      <c r="R33" s="105">
        <f t="shared" si="3"/>
        <v>147.71</v>
      </c>
      <c r="S33" s="59"/>
      <c r="T33" s="59"/>
      <c r="U33" s="59"/>
      <c r="V33" s="59"/>
    </row>
    <row r="34" spans="1:22" s="58" customFormat="1">
      <c r="A34" s="69" t="s">
        <v>87</v>
      </c>
      <c r="B34" s="106"/>
      <c r="C34" s="108">
        <v>6.32</v>
      </c>
      <c r="D34" s="105">
        <v>2</v>
      </c>
      <c r="E34" s="109">
        <v>1000</v>
      </c>
      <c r="F34" s="106" t="s">
        <v>24</v>
      </c>
      <c r="G34" s="126" t="s">
        <v>24</v>
      </c>
      <c r="H34" s="127"/>
      <c r="I34" s="128"/>
      <c r="J34" s="126"/>
      <c r="K34" s="127"/>
      <c r="L34" s="128"/>
      <c r="M34" s="127"/>
      <c r="N34" s="105">
        <f t="shared" si="0"/>
        <v>32.32</v>
      </c>
      <c r="O34" s="105">
        <v>11.78</v>
      </c>
      <c r="P34" s="105">
        <f t="shared" si="1"/>
        <v>72.930000000000007</v>
      </c>
      <c r="Q34" s="105">
        <f t="shared" si="2"/>
        <v>84.710000000000008</v>
      </c>
      <c r="R34" s="105">
        <f t="shared" si="3"/>
        <v>117.03</v>
      </c>
      <c r="S34" s="59"/>
      <c r="T34" s="59"/>
      <c r="U34" s="59"/>
      <c r="V34" s="59"/>
    </row>
    <row r="35" spans="1:22" s="58" customFormat="1">
      <c r="A35" s="113" t="s">
        <v>88</v>
      </c>
      <c r="B35" s="106"/>
      <c r="C35" s="119">
        <v>0</v>
      </c>
      <c r="D35" s="120">
        <v>8.5</v>
      </c>
      <c r="E35" s="121">
        <v>3000</v>
      </c>
      <c r="F35" s="118">
        <v>2.5</v>
      </c>
      <c r="G35" s="122">
        <v>3001</v>
      </c>
      <c r="H35" s="127"/>
      <c r="I35" s="128"/>
      <c r="J35" s="126"/>
      <c r="K35" s="127"/>
      <c r="L35" s="128"/>
      <c r="M35" s="127"/>
      <c r="N35" s="150">
        <f>C35+D35+(F35*10)</f>
        <v>33.5</v>
      </c>
      <c r="O35" s="105">
        <v>11.78</v>
      </c>
      <c r="P35" s="105">
        <f t="shared" si="1"/>
        <v>72.930000000000007</v>
      </c>
      <c r="Q35" s="105">
        <f t="shared" si="2"/>
        <v>84.710000000000008</v>
      </c>
      <c r="R35" s="105">
        <f t="shared" si="3"/>
        <v>118.21000000000001</v>
      </c>
      <c r="S35" s="59"/>
      <c r="T35" s="59"/>
      <c r="U35" s="59"/>
      <c r="V35" s="59"/>
    </row>
    <row r="36" spans="1:22" s="58" customFormat="1">
      <c r="A36" s="113" t="s">
        <v>39</v>
      </c>
      <c r="B36" s="106"/>
      <c r="C36" s="108">
        <v>0</v>
      </c>
      <c r="D36" s="105">
        <f>31-(4*5.61)</f>
        <v>8.5599999999999987</v>
      </c>
      <c r="E36" s="109">
        <v>4000</v>
      </c>
      <c r="F36" s="106">
        <v>1.56</v>
      </c>
      <c r="G36" s="126">
        <v>4001</v>
      </c>
      <c r="H36" s="127"/>
      <c r="I36" s="128"/>
      <c r="J36" s="126"/>
      <c r="K36" s="127"/>
      <c r="L36" s="128"/>
      <c r="M36" s="127"/>
      <c r="N36" s="105">
        <f>(C36)+D36+(F36*9)</f>
        <v>22.6</v>
      </c>
      <c r="O36" s="105">
        <v>11.78</v>
      </c>
      <c r="P36" s="105">
        <f t="shared" si="1"/>
        <v>72.930000000000007</v>
      </c>
      <c r="Q36" s="105">
        <f t="shared" si="2"/>
        <v>84.710000000000008</v>
      </c>
      <c r="R36" s="105">
        <f t="shared" si="3"/>
        <v>107.31</v>
      </c>
      <c r="S36" s="59"/>
      <c r="T36" s="59"/>
      <c r="U36" s="59"/>
      <c r="V36" s="59"/>
    </row>
    <row r="37" spans="1:22" s="58" customFormat="1" ht="15.75" thickBot="1">
      <c r="A37" s="129" t="s">
        <v>50</v>
      </c>
      <c r="B37" s="130"/>
      <c r="C37" s="131">
        <v>39.43</v>
      </c>
      <c r="D37" s="132">
        <v>3.99</v>
      </c>
      <c r="E37" s="133">
        <v>1000</v>
      </c>
      <c r="F37" s="130"/>
      <c r="G37" s="134"/>
      <c r="H37" s="135"/>
      <c r="I37" s="136"/>
      <c r="J37" s="134"/>
      <c r="K37" s="135"/>
      <c r="L37" s="136"/>
      <c r="M37" s="135"/>
      <c r="N37" s="105">
        <f>(C37)+(D37*13)</f>
        <v>91.300000000000011</v>
      </c>
      <c r="O37" s="105">
        <v>11.78</v>
      </c>
      <c r="P37" s="105">
        <f t="shared" si="1"/>
        <v>72.930000000000007</v>
      </c>
      <c r="Q37" s="105">
        <f t="shared" si="2"/>
        <v>84.710000000000008</v>
      </c>
      <c r="R37" s="105">
        <f t="shared" si="3"/>
        <v>176.01000000000002</v>
      </c>
      <c r="S37" s="59"/>
      <c r="T37" s="59"/>
      <c r="U37" s="59"/>
      <c r="V37" s="59"/>
    </row>
    <row r="38" spans="1:22" s="19" customFormat="1">
      <c r="O38" s="19" t="s">
        <v>24</v>
      </c>
      <c r="P38" s="19" t="s">
        <v>24</v>
      </c>
    </row>
    <row r="39" spans="1:22" s="19" customFormat="1">
      <c r="A39" s="16" t="s">
        <v>31</v>
      </c>
      <c r="B39" s="17"/>
    </row>
    <row r="40" spans="1:22" s="19" customFormat="1">
      <c r="B40" s="19" t="s">
        <v>40</v>
      </c>
    </row>
    <row r="41" spans="1:22" s="19" customFormat="1">
      <c r="B41" s="19" t="s">
        <v>110</v>
      </c>
    </row>
    <row r="42" spans="1:22" s="19" customFormat="1">
      <c r="B42" s="18" t="s">
        <v>114</v>
      </c>
    </row>
    <row r="43" spans="1:22" s="19" customFormat="1"/>
  </sheetData>
  <sheetProtection formatCells="0" formatColumns="0" formatRows="0"/>
  <pageMargins left="0.7" right="0.7" top="0.75" bottom="0.75" header="0.3" footer="0.3"/>
  <pageSetup paperSize="17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Normal="100" workbookViewId="0">
      <selection activeCell="A37" sqref="A37"/>
    </sheetView>
  </sheetViews>
  <sheetFormatPr defaultRowHeight="15"/>
  <cols>
    <col min="1" max="1" width="19.42578125" style="18" bestFit="1" customWidth="1"/>
    <col min="2" max="2" width="9" style="18" customWidth="1"/>
    <col min="3" max="3" width="9.28515625" style="18" bestFit="1" customWidth="1"/>
    <col min="4" max="4" width="9" style="18" customWidth="1"/>
    <col min="5" max="5" width="7.28515625" style="18" customWidth="1"/>
    <col min="6" max="7" width="6.42578125" style="18" customWidth="1"/>
    <col min="8" max="8" width="7.140625" style="18" customWidth="1"/>
    <col min="9" max="9" width="6.42578125" style="18" customWidth="1"/>
    <col min="10" max="10" width="7.140625" style="18" bestFit="1" customWidth="1"/>
    <col min="11" max="11" width="7.140625" style="18" customWidth="1"/>
    <col min="12" max="13" width="6.42578125" style="18" customWidth="1"/>
    <col min="14" max="14" width="14.7109375" style="18" customWidth="1"/>
    <col min="15" max="15" width="10.85546875" style="18" bestFit="1" customWidth="1"/>
    <col min="16" max="16" width="16.5703125" style="18" bestFit="1" customWidth="1"/>
    <col min="17" max="17" width="10" style="18" bestFit="1" customWidth="1"/>
    <col min="18" max="18" width="11.5703125" style="18" bestFit="1" customWidth="1"/>
    <col min="19" max="16384" width="9.140625" style="18"/>
  </cols>
  <sheetData>
    <row r="1" spans="1:18">
      <c r="B1" s="19">
        <v>2015</v>
      </c>
      <c r="C1" s="19" t="s">
        <v>34</v>
      </c>
      <c r="D1" s="19"/>
      <c r="E1" s="19"/>
      <c r="F1" s="19"/>
    </row>
    <row r="2" spans="1:18">
      <c r="B2" s="19"/>
      <c r="C2" s="1" t="s">
        <v>41</v>
      </c>
      <c r="D2" s="19"/>
      <c r="E2" s="19"/>
      <c r="F2" s="19"/>
    </row>
    <row r="3" spans="1:18">
      <c r="B3" s="2" t="s">
        <v>1</v>
      </c>
    </row>
    <row r="4" spans="1:18">
      <c r="C4" s="2" t="s">
        <v>2</v>
      </c>
      <c r="D4" s="2"/>
    </row>
    <row r="5" spans="1:18" ht="15.75" customHeight="1" thickBot="1">
      <c r="B5" s="18" t="s">
        <v>131</v>
      </c>
      <c r="C5" s="2"/>
      <c r="D5" s="2"/>
    </row>
    <row r="6" spans="1:18" ht="15.75" thickBot="1">
      <c r="A6" s="21" t="s">
        <v>3</v>
      </c>
      <c r="B6" s="22" t="s">
        <v>4</v>
      </c>
      <c r="C6" s="22"/>
      <c r="D6" s="23" t="s">
        <v>36</v>
      </c>
      <c r="E6" s="24"/>
      <c r="F6" s="25"/>
      <c r="G6" s="26" t="s">
        <v>6</v>
      </c>
      <c r="H6" s="27"/>
      <c r="I6" s="25"/>
      <c r="J6" s="26" t="s">
        <v>7</v>
      </c>
      <c r="K6" s="27"/>
      <c r="L6" s="25" t="s">
        <v>8</v>
      </c>
      <c r="M6" s="28"/>
      <c r="N6" s="29" t="s">
        <v>37</v>
      </c>
      <c r="O6" s="3" t="s">
        <v>10</v>
      </c>
      <c r="P6" s="3" t="s">
        <v>11</v>
      </c>
      <c r="Q6" s="3" t="s">
        <v>12</v>
      </c>
      <c r="R6" s="3" t="s">
        <v>12</v>
      </c>
    </row>
    <row r="7" spans="1:18" ht="15.75" thickBot="1">
      <c r="A7" s="30" t="s">
        <v>13</v>
      </c>
      <c r="B7" s="31" t="s">
        <v>14</v>
      </c>
      <c r="C7" s="32" t="s">
        <v>15</v>
      </c>
      <c r="D7" s="33" t="s">
        <v>16</v>
      </c>
      <c r="E7" s="30" t="s">
        <v>17</v>
      </c>
      <c r="F7" s="31" t="s">
        <v>16</v>
      </c>
      <c r="G7" s="34" t="s">
        <v>18</v>
      </c>
      <c r="H7" s="32" t="s">
        <v>19</v>
      </c>
      <c r="I7" s="31" t="s">
        <v>16</v>
      </c>
      <c r="J7" s="34" t="s">
        <v>18</v>
      </c>
      <c r="K7" s="32" t="s">
        <v>19</v>
      </c>
      <c r="L7" s="31" t="s">
        <v>16</v>
      </c>
      <c r="M7" s="35" t="s">
        <v>20</v>
      </c>
      <c r="N7" s="30" t="s">
        <v>132</v>
      </c>
      <c r="O7" s="4" t="s">
        <v>21</v>
      </c>
      <c r="P7" s="4" t="s">
        <v>130</v>
      </c>
      <c r="Q7" s="4" t="s">
        <v>10</v>
      </c>
      <c r="R7" s="4" t="s">
        <v>22</v>
      </c>
    </row>
    <row r="8" spans="1:18" s="19" customFormat="1" ht="15.75" customHeight="1" thickBot="1">
      <c r="A8" s="60" t="s">
        <v>104</v>
      </c>
      <c r="B8" s="61">
        <f>6.75-3.93</f>
        <v>2.82</v>
      </c>
      <c r="C8" s="62"/>
      <c r="D8" s="63">
        <f>8.85-5.61</f>
        <v>3.2399999999999993</v>
      </c>
      <c r="E8" s="64">
        <v>1000</v>
      </c>
      <c r="F8" s="65"/>
      <c r="G8" s="66"/>
      <c r="H8" s="67"/>
      <c r="I8" s="65"/>
      <c r="J8" s="66"/>
      <c r="K8" s="67"/>
      <c r="L8" s="61"/>
      <c r="M8" s="68"/>
      <c r="N8" s="5">
        <f>(B8*3)+(D8*13)</f>
        <v>50.579999999999991</v>
      </c>
      <c r="O8" s="5">
        <v>11.78</v>
      </c>
      <c r="P8" s="5">
        <f>5.61*13</f>
        <v>72.930000000000007</v>
      </c>
      <c r="Q8" s="5">
        <f>O8+P8</f>
        <v>84.710000000000008</v>
      </c>
      <c r="R8" s="5">
        <f>N8+Q8</f>
        <v>135.29</v>
      </c>
    </row>
    <row r="9" spans="1:18" s="19" customFormat="1" ht="15.75" thickBot="1">
      <c r="A9" s="69" t="s">
        <v>116</v>
      </c>
      <c r="B9" s="70">
        <v>0</v>
      </c>
      <c r="C9" s="71"/>
      <c r="D9" s="72">
        <v>5.5</v>
      </c>
      <c r="E9" s="64">
        <v>1000</v>
      </c>
      <c r="F9" s="70"/>
      <c r="G9" s="73"/>
      <c r="H9" s="74"/>
      <c r="I9" s="75"/>
      <c r="J9" s="73"/>
      <c r="K9" s="74"/>
      <c r="L9" s="70"/>
      <c r="M9" s="73"/>
      <c r="N9" s="5">
        <f>(B9*3)+(D9*13)</f>
        <v>71.5</v>
      </c>
      <c r="O9" s="5">
        <v>11.78</v>
      </c>
      <c r="P9" s="5">
        <f t="shared" ref="P9:P43" si="0">5.61*13</f>
        <v>72.930000000000007</v>
      </c>
      <c r="Q9" s="5">
        <f t="shared" ref="Q9:Q43" si="1">O9+P9</f>
        <v>84.710000000000008</v>
      </c>
      <c r="R9" s="5">
        <f t="shared" ref="R9:R43" si="2">N9+Q9</f>
        <v>156.21</v>
      </c>
    </row>
    <row r="10" spans="1:18" s="19" customFormat="1" ht="15.75" thickBot="1">
      <c r="A10" s="69" t="s">
        <v>62</v>
      </c>
      <c r="B10" s="70">
        <f>13-3.93</f>
        <v>9.07</v>
      </c>
      <c r="C10" s="71" t="s">
        <v>24</v>
      </c>
      <c r="D10" s="72">
        <f>7.6-5.61</f>
        <v>1.9899999999999993</v>
      </c>
      <c r="E10" s="64">
        <v>1000</v>
      </c>
      <c r="F10" s="70"/>
      <c r="G10" s="73"/>
      <c r="H10" s="74"/>
      <c r="I10" s="75"/>
      <c r="J10" s="73"/>
      <c r="K10" s="74"/>
      <c r="L10" s="70"/>
      <c r="M10" s="73"/>
      <c r="N10" s="5">
        <f t="shared" ref="N10:N43" si="3">(B10*3)+(D10*13)</f>
        <v>53.079999999999991</v>
      </c>
      <c r="O10" s="5">
        <v>11.78</v>
      </c>
      <c r="P10" s="5">
        <f t="shared" si="0"/>
        <v>72.930000000000007</v>
      </c>
      <c r="Q10" s="5">
        <f t="shared" si="1"/>
        <v>84.710000000000008</v>
      </c>
      <c r="R10" s="5">
        <f>N10+Q10</f>
        <v>137.79</v>
      </c>
    </row>
    <row r="11" spans="1:18" s="19" customFormat="1" ht="15.75" thickBot="1">
      <c r="A11" s="69" t="s">
        <v>58</v>
      </c>
      <c r="B11" s="70">
        <v>3.42</v>
      </c>
      <c r="C11" s="71"/>
      <c r="D11" s="72">
        <v>6.73</v>
      </c>
      <c r="E11" s="64">
        <v>1000</v>
      </c>
      <c r="F11" s="70"/>
      <c r="G11" s="73"/>
      <c r="H11" s="74"/>
      <c r="I11" s="75"/>
      <c r="J11" s="73"/>
      <c r="K11" s="74"/>
      <c r="L11" s="70"/>
      <c r="M11" s="73"/>
      <c r="N11" s="5">
        <f t="shared" si="3"/>
        <v>97.750000000000014</v>
      </c>
      <c r="O11" s="5">
        <v>11.78</v>
      </c>
      <c r="P11" s="5">
        <f t="shared" si="0"/>
        <v>72.930000000000007</v>
      </c>
      <c r="Q11" s="5">
        <f t="shared" si="1"/>
        <v>84.710000000000008</v>
      </c>
      <c r="R11" s="5">
        <f t="shared" si="2"/>
        <v>182.46000000000004</v>
      </c>
    </row>
    <row r="12" spans="1:18" s="19" customFormat="1" ht="15.75" thickBot="1">
      <c r="A12" s="69" t="s">
        <v>94</v>
      </c>
      <c r="B12" s="70">
        <v>0</v>
      </c>
      <c r="C12" s="71" t="s">
        <v>24</v>
      </c>
      <c r="D12" s="72">
        <v>5.61</v>
      </c>
      <c r="E12" s="64">
        <v>1000</v>
      </c>
      <c r="F12" s="70"/>
      <c r="G12" s="73"/>
      <c r="H12" s="74"/>
      <c r="I12" s="75"/>
      <c r="J12" s="73"/>
      <c r="K12" s="74"/>
      <c r="L12" s="70"/>
      <c r="M12" s="73"/>
      <c r="N12" s="5">
        <f t="shared" si="3"/>
        <v>72.930000000000007</v>
      </c>
      <c r="O12" s="5">
        <v>11.78</v>
      </c>
      <c r="P12" s="5">
        <f t="shared" si="0"/>
        <v>72.930000000000007</v>
      </c>
      <c r="Q12" s="5">
        <f t="shared" si="1"/>
        <v>84.710000000000008</v>
      </c>
      <c r="R12" s="5">
        <f t="shared" si="2"/>
        <v>157.64000000000001</v>
      </c>
    </row>
    <row r="13" spans="1:18" s="19" customFormat="1" ht="15.75" thickBot="1">
      <c r="A13" s="69" t="s">
        <v>67</v>
      </c>
      <c r="B13" s="70">
        <v>0</v>
      </c>
      <c r="C13" s="71">
        <f>3.83-3.93</f>
        <v>-0.10000000000000009</v>
      </c>
      <c r="D13" s="72">
        <f>12.61-5.61</f>
        <v>6.9999999999999991</v>
      </c>
      <c r="E13" s="64">
        <v>1000</v>
      </c>
      <c r="F13" s="70"/>
      <c r="G13" s="73"/>
      <c r="H13" s="74"/>
      <c r="I13" s="75"/>
      <c r="J13" s="73"/>
      <c r="K13" s="74"/>
      <c r="L13" s="70"/>
      <c r="M13" s="73"/>
      <c r="N13" s="5">
        <f t="shared" si="3"/>
        <v>90.999999999999986</v>
      </c>
      <c r="O13" s="5">
        <v>11.78</v>
      </c>
      <c r="P13" s="5">
        <f t="shared" si="0"/>
        <v>72.930000000000007</v>
      </c>
      <c r="Q13" s="5">
        <f t="shared" si="1"/>
        <v>84.710000000000008</v>
      </c>
      <c r="R13" s="5">
        <f t="shared" si="2"/>
        <v>175.70999999999998</v>
      </c>
    </row>
    <row r="14" spans="1:18" s="19" customFormat="1" ht="15.75" thickBot="1">
      <c r="A14" s="69" t="s">
        <v>46</v>
      </c>
      <c r="B14" s="70">
        <v>0</v>
      </c>
      <c r="C14" s="71" t="s">
        <v>24</v>
      </c>
      <c r="D14" s="72">
        <v>4.8</v>
      </c>
      <c r="E14" s="64">
        <v>1000</v>
      </c>
      <c r="F14" s="70"/>
      <c r="G14" s="73"/>
      <c r="H14" s="74"/>
      <c r="I14" s="75"/>
      <c r="J14" s="73"/>
      <c r="K14" s="74"/>
      <c r="L14" s="70"/>
      <c r="M14" s="73"/>
      <c r="N14" s="5">
        <f t="shared" si="3"/>
        <v>62.4</v>
      </c>
      <c r="O14" s="5">
        <v>11.78</v>
      </c>
      <c r="P14" s="5">
        <f t="shared" si="0"/>
        <v>72.930000000000007</v>
      </c>
      <c r="Q14" s="5">
        <f t="shared" si="1"/>
        <v>84.710000000000008</v>
      </c>
      <c r="R14" s="5">
        <f t="shared" si="2"/>
        <v>147.11000000000001</v>
      </c>
    </row>
    <row r="15" spans="1:18" s="19" customFormat="1" ht="15.75" thickBot="1">
      <c r="A15" s="69" t="s">
        <v>93</v>
      </c>
      <c r="B15" s="70">
        <v>0</v>
      </c>
      <c r="C15" s="71">
        <v>4.75</v>
      </c>
      <c r="D15" s="72">
        <f>10.75-5.61</f>
        <v>5.14</v>
      </c>
      <c r="E15" s="64">
        <v>1000</v>
      </c>
      <c r="F15" s="70"/>
      <c r="G15" s="73"/>
      <c r="H15" s="74"/>
      <c r="I15" s="75"/>
      <c r="J15" s="73"/>
      <c r="K15" s="74"/>
      <c r="L15" s="70"/>
      <c r="M15" s="73"/>
      <c r="N15" s="5">
        <f t="shared" si="3"/>
        <v>66.819999999999993</v>
      </c>
      <c r="O15" s="5">
        <v>11.78</v>
      </c>
      <c r="P15" s="5">
        <f t="shared" si="0"/>
        <v>72.930000000000007</v>
      </c>
      <c r="Q15" s="5">
        <f t="shared" si="1"/>
        <v>84.710000000000008</v>
      </c>
      <c r="R15" s="5">
        <f t="shared" si="2"/>
        <v>151.53</v>
      </c>
    </row>
    <row r="16" spans="1:18" s="19" customFormat="1" ht="15.75" thickBot="1">
      <c r="A16" s="69" t="s">
        <v>81</v>
      </c>
      <c r="B16" s="70">
        <v>2.25</v>
      </c>
      <c r="C16" s="71" t="s">
        <v>24</v>
      </c>
      <c r="D16" s="72">
        <v>8</v>
      </c>
      <c r="E16" s="64">
        <v>1000</v>
      </c>
      <c r="F16" s="70"/>
      <c r="G16" s="73"/>
      <c r="H16" s="74"/>
      <c r="I16" s="75"/>
      <c r="J16" s="73"/>
      <c r="K16" s="74"/>
      <c r="L16" s="70"/>
      <c r="M16" s="73"/>
      <c r="N16" s="5">
        <f t="shared" si="3"/>
        <v>110.75</v>
      </c>
      <c r="O16" s="5">
        <v>11.78</v>
      </c>
      <c r="P16" s="5">
        <f t="shared" si="0"/>
        <v>72.930000000000007</v>
      </c>
      <c r="Q16" s="5">
        <f t="shared" si="1"/>
        <v>84.710000000000008</v>
      </c>
      <c r="R16" s="5">
        <f t="shared" si="2"/>
        <v>195.46</v>
      </c>
    </row>
    <row r="17" spans="1:18" s="19" customFormat="1" ht="15.75" thickBot="1">
      <c r="A17" s="69" t="s">
        <v>70</v>
      </c>
      <c r="B17" s="70">
        <v>0</v>
      </c>
      <c r="C17" s="71" t="s">
        <v>24</v>
      </c>
      <c r="D17" s="72">
        <v>4.5</v>
      </c>
      <c r="E17" s="64">
        <v>1000</v>
      </c>
      <c r="F17" s="70"/>
      <c r="G17" s="73"/>
      <c r="H17" s="74"/>
      <c r="I17" s="75"/>
      <c r="J17" s="73"/>
      <c r="K17" s="74"/>
      <c r="L17" s="70"/>
      <c r="M17" s="73"/>
      <c r="N17" s="5">
        <f t="shared" si="3"/>
        <v>58.5</v>
      </c>
      <c r="O17" s="5">
        <v>11.78</v>
      </c>
      <c r="P17" s="5">
        <f t="shared" si="0"/>
        <v>72.930000000000007</v>
      </c>
      <c r="Q17" s="5">
        <f t="shared" si="1"/>
        <v>84.710000000000008</v>
      </c>
      <c r="R17" s="5">
        <f t="shared" si="2"/>
        <v>143.21</v>
      </c>
    </row>
    <row r="18" spans="1:18" s="19" customFormat="1" ht="15.75" thickBot="1">
      <c r="A18" s="69" t="s">
        <v>90</v>
      </c>
      <c r="B18" s="70">
        <v>0</v>
      </c>
      <c r="C18" s="71" t="s">
        <v>24</v>
      </c>
      <c r="D18" s="72">
        <v>4</v>
      </c>
      <c r="E18" s="64">
        <v>1000</v>
      </c>
      <c r="F18" s="70"/>
      <c r="G18" s="73"/>
      <c r="H18" s="74"/>
      <c r="I18" s="75"/>
      <c r="J18" s="73"/>
      <c r="K18" s="74"/>
      <c r="L18" s="70"/>
      <c r="M18" s="73"/>
      <c r="N18" s="5">
        <f t="shared" si="3"/>
        <v>52</v>
      </c>
      <c r="O18" s="5">
        <v>11.78</v>
      </c>
      <c r="P18" s="5">
        <f t="shared" si="0"/>
        <v>72.930000000000007</v>
      </c>
      <c r="Q18" s="5">
        <f t="shared" si="1"/>
        <v>84.710000000000008</v>
      </c>
      <c r="R18" s="5">
        <f t="shared" si="2"/>
        <v>136.71</v>
      </c>
    </row>
    <row r="19" spans="1:18" s="19" customFormat="1" ht="15.75" thickBot="1">
      <c r="A19" s="69" t="s">
        <v>113</v>
      </c>
      <c r="B19" s="70">
        <f>6.27-3.54</f>
        <v>2.7299999999999995</v>
      </c>
      <c r="C19" s="71"/>
      <c r="D19" s="72">
        <f>9.98-5.05</f>
        <v>4.9300000000000006</v>
      </c>
      <c r="E19" s="64">
        <v>1000</v>
      </c>
      <c r="F19" s="70"/>
      <c r="G19" s="73"/>
      <c r="H19" s="74"/>
      <c r="I19" s="75"/>
      <c r="J19" s="73"/>
      <c r="K19" s="74"/>
      <c r="L19" s="70"/>
      <c r="M19" s="73"/>
      <c r="N19" s="5">
        <f t="shared" si="3"/>
        <v>72.28</v>
      </c>
      <c r="O19" s="5">
        <v>11.78</v>
      </c>
      <c r="P19" s="5">
        <f t="shared" si="0"/>
        <v>72.930000000000007</v>
      </c>
      <c r="Q19" s="5">
        <f t="shared" si="1"/>
        <v>84.710000000000008</v>
      </c>
      <c r="R19" s="5">
        <f t="shared" si="2"/>
        <v>156.99</v>
      </c>
    </row>
    <row r="20" spans="1:18" s="19" customFormat="1" ht="15.75" thickBot="1">
      <c r="A20" s="76" t="s">
        <v>71</v>
      </c>
      <c r="B20" s="77">
        <f>7.67-2.93</f>
        <v>4.74</v>
      </c>
      <c r="C20" s="78" t="s">
        <v>24</v>
      </c>
      <c r="D20" s="79">
        <f>9.11-5.61</f>
        <v>3.4999999999999991</v>
      </c>
      <c r="E20" s="64">
        <v>1000</v>
      </c>
      <c r="F20" s="77"/>
      <c r="G20" s="80"/>
      <c r="H20" s="81"/>
      <c r="I20" s="82"/>
      <c r="J20" s="80"/>
      <c r="K20" s="81"/>
      <c r="L20" s="77"/>
      <c r="M20" s="80"/>
      <c r="N20" s="5">
        <f t="shared" si="3"/>
        <v>59.719999999999985</v>
      </c>
      <c r="O20" s="5">
        <v>11.78</v>
      </c>
      <c r="P20" s="5">
        <f t="shared" si="0"/>
        <v>72.930000000000007</v>
      </c>
      <c r="Q20" s="5">
        <f t="shared" si="1"/>
        <v>84.710000000000008</v>
      </c>
      <c r="R20" s="5">
        <f t="shared" si="2"/>
        <v>144.43</v>
      </c>
    </row>
    <row r="21" spans="1:18" s="19" customFormat="1" ht="15.75" thickBot="1">
      <c r="A21" s="69" t="s">
        <v>79</v>
      </c>
      <c r="B21" s="70">
        <v>0.38</v>
      </c>
      <c r="C21" s="72"/>
      <c r="D21" s="5">
        <v>3.75</v>
      </c>
      <c r="E21" s="64">
        <v>1000</v>
      </c>
      <c r="F21" s="70"/>
      <c r="G21" s="73"/>
      <c r="H21" s="7"/>
      <c r="I21" s="75"/>
      <c r="J21" s="73"/>
      <c r="K21" s="7"/>
      <c r="L21" s="70"/>
      <c r="M21" s="7"/>
      <c r="N21" s="5">
        <f t="shared" si="3"/>
        <v>49.89</v>
      </c>
      <c r="O21" s="5">
        <v>11.78</v>
      </c>
      <c r="P21" s="5">
        <f t="shared" si="0"/>
        <v>72.930000000000007</v>
      </c>
      <c r="Q21" s="5">
        <f t="shared" si="1"/>
        <v>84.710000000000008</v>
      </c>
      <c r="R21" s="5">
        <f t="shared" si="2"/>
        <v>134.60000000000002</v>
      </c>
    </row>
    <row r="22" spans="1:18" s="19" customFormat="1" ht="15.75" thickBot="1">
      <c r="A22" s="69" t="s">
        <v>63</v>
      </c>
      <c r="B22" s="70"/>
      <c r="C22" s="72"/>
      <c r="D22" s="5">
        <f>7.5-5.61</f>
        <v>1.8899999999999997</v>
      </c>
      <c r="E22" s="64">
        <v>1000</v>
      </c>
      <c r="F22" s="70"/>
      <c r="G22" s="83"/>
      <c r="H22" s="84"/>
      <c r="I22" s="85"/>
      <c r="J22" s="83"/>
      <c r="K22" s="84"/>
      <c r="L22" s="85"/>
      <c r="M22" s="84"/>
      <c r="N22" s="5">
        <f t="shared" si="3"/>
        <v>24.569999999999997</v>
      </c>
      <c r="O22" s="5">
        <v>11.78</v>
      </c>
      <c r="P22" s="5">
        <f t="shared" si="0"/>
        <v>72.930000000000007</v>
      </c>
      <c r="Q22" s="5">
        <f t="shared" si="1"/>
        <v>84.710000000000008</v>
      </c>
      <c r="R22" s="5">
        <f t="shared" si="2"/>
        <v>109.28</v>
      </c>
    </row>
    <row r="23" spans="1:18" s="19" customFormat="1" ht="15.75" thickBot="1">
      <c r="A23" s="69" t="s">
        <v>124</v>
      </c>
      <c r="B23" s="70">
        <f>24.7-3.93</f>
        <v>20.77</v>
      </c>
      <c r="C23" s="72" t="s">
        <v>24</v>
      </c>
      <c r="D23" s="5">
        <f>9.46-5.61</f>
        <v>3.8500000000000005</v>
      </c>
      <c r="E23" s="64">
        <v>1000</v>
      </c>
      <c r="F23" s="70"/>
      <c r="G23" s="83"/>
      <c r="H23" s="84"/>
      <c r="I23" s="85"/>
      <c r="J23" s="83"/>
      <c r="K23" s="84"/>
      <c r="L23" s="85"/>
      <c r="M23" s="84"/>
      <c r="N23" s="5">
        <f t="shared" si="3"/>
        <v>112.36000000000001</v>
      </c>
      <c r="O23" s="5">
        <v>11.78</v>
      </c>
      <c r="P23" s="5">
        <f t="shared" si="0"/>
        <v>72.930000000000007</v>
      </c>
      <c r="Q23" s="5">
        <f t="shared" si="1"/>
        <v>84.710000000000008</v>
      </c>
      <c r="R23" s="5">
        <f t="shared" si="2"/>
        <v>197.07000000000002</v>
      </c>
    </row>
    <row r="24" spans="1:18" s="19" customFormat="1" ht="15.75" thickBot="1">
      <c r="A24" s="69" t="s">
        <v>84</v>
      </c>
      <c r="B24" s="70">
        <v>1</v>
      </c>
      <c r="C24" s="72">
        <v>0</v>
      </c>
      <c r="D24" s="5">
        <v>4.08</v>
      </c>
      <c r="E24" s="64">
        <v>1000</v>
      </c>
      <c r="F24" s="70"/>
      <c r="G24" s="83"/>
      <c r="H24" s="84"/>
      <c r="I24" s="85"/>
      <c r="J24" s="83"/>
      <c r="K24" s="84"/>
      <c r="L24" s="85"/>
      <c r="M24" s="84"/>
      <c r="N24" s="5">
        <f t="shared" si="3"/>
        <v>56.04</v>
      </c>
      <c r="O24" s="5">
        <v>11.78</v>
      </c>
      <c r="P24" s="5">
        <f t="shared" si="0"/>
        <v>72.930000000000007</v>
      </c>
      <c r="Q24" s="5">
        <f t="shared" si="1"/>
        <v>84.710000000000008</v>
      </c>
      <c r="R24" s="5">
        <f t="shared" si="2"/>
        <v>140.75</v>
      </c>
    </row>
    <row r="25" spans="1:18" s="19" customFormat="1" ht="15.75" thickBot="1">
      <c r="A25" s="69" t="s">
        <v>45</v>
      </c>
      <c r="B25" s="70">
        <v>0</v>
      </c>
      <c r="C25" s="72" t="s">
        <v>24</v>
      </c>
      <c r="D25" s="5">
        <v>4.05</v>
      </c>
      <c r="E25" s="64">
        <v>1000</v>
      </c>
      <c r="F25" s="70"/>
      <c r="G25" s="83"/>
      <c r="H25" s="84"/>
      <c r="I25" s="85"/>
      <c r="J25" s="83"/>
      <c r="K25" s="84"/>
      <c r="L25" s="85"/>
      <c r="M25" s="84"/>
      <c r="N25" s="5">
        <f t="shared" si="3"/>
        <v>52.65</v>
      </c>
      <c r="O25" s="5">
        <v>11.78</v>
      </c>
      <c r="P25" s="5">
        <f t="shared" si="0"/>
        <v>72.930000000000007</v>
      </c>
      <c r="Q25" s="5">
        <f t="shared" si="1"/>
        <v>84.710000000000008</v>
      </c>
      <c r="R25" s="5">
        <f t="shared" si="2"/>
        <v>137.36000000000001</v>
      </c>
    </row>
    <row r="26" spans="1:18" s="19" customFormat="1" ht="15.75" thickBot="1">
      <c r="A26" s="86" t="s">
        <v>95</v>
      </c>
      <c r="B26" s="70">
        <v>0</v>
      </c>
      <c r="C26" s="72" t="s">
        <v>24</v>
      </c>
      <c r="D26" s="5">
        <v>7.12</v>
      </c>
      <c r="E26" s="64">
        <v>1000</v>
      </c>
      <c r="F26" s="70"/>
      <c r="G26" s="83"/>
      <c r="H26" s="84"/>
      <c r="I26" s="85"/>
      <c r="J26" s="83"/>
      <c r="K26" s="84"/>
      <c r="L26" s="85"/>
      <c r="M26" s="84"/>
      <c r="N26" s="5">
        <f t="shared" si="3"/>
        <v>92.56</v>
      </c>
      <c r="O26" s="5">
        <v>11.78</v>
      </c>
      <c r="P26" s="5">
        <f t="shared" si="0"/>
        <v>72.930000000000007</v>
      </c>
      <c r="Q26" s="5">
        <f t="shared" si="1"/>
        <v>84.710000000000008</v>
      </c>
      <c r="R26" s="5">
        <f t="shared" si="2"/>
        <v>177.27</v>
      </c>
    </row>
    <row r="27" spans="1:18" s="19" customFormat="1" ht="15.75" thickBot="1">
      <c r="A27" s="86" t="s">
        <v>100</v>
      </c>
      <c r="B27" s="70">
        <f>2.88-3.93</f>
        <v>-1.0500000000000003</v>
      </c>
      <c r="C27" s="72"/>
      <c r="D27" s="5">
        <f>7.59-5.61</f>
        <v>1.9799999999999995</v>
      </c>
      <c r="E27" s="64">
        <v>1000</v>
      </c>
      <c r="F27" s="70"/>
      <c r="G27" s="83"/>
      <c r="H27" s="84"/>
      <c r="I27" s="85"/>
      <c r="J27" s="83"/>
      <c r="K27" s="84"/>
      <c r="L27" s="85"/>
      <c r="M27" s="84"/>
      <c r="N27" s="5">
        <f t="shared" si="3"/>
        <v>22.589999999999993</v>
      </c>
      <c r="O27" s="5">
        <v>11.78</v>
      </c>
      <c r="P27" s="5">
        <f t="shared" si="0"/>
        <v>72.930000000000007</v>
      </c>
      <c r="Q27" s="5">
        <f t="shared" si="1"/>
        <v>84.710000000000008</v>
      </c>
      <c r="R27" s="5">
        <f t="shared" si="2"/>
        <v>107.3</v>
      </c>
    </row>
    <row r="28" spans="1:18" s="19" customFormat="1" ht="15.75" thickBot="1">
      <c r="A28" s="86" t="s">
        <v>101</v>
      </c>
      <c r="B28" s="70">
        <v>0</v>
      </c>
      <c r="C28" s="72" t="s">
        <v>24</v>
      </c>
      <c r="D28" s="5">
        <v>49.5</v>
      </c>
      <c r="E28" s="64">
        <v>9000</v>
      </c>
      <c r="F28" s="70">
        <f>5.5-5.61</f>
        <v>-0.11000000000000032</v>
      </c>
      <c r="G28" s="83">
        <v>3001</v>
      </c>
      <c r="H28" s="84"/>
      <c r="I28" s="85"/>
      <c r="J28" s="83"/>
      <c r="K28" s="84"/>
      <c r="L28" s="85"/>
      <c r="M28" s="84"/>
      <c r="N28" s="5">
        <f>B28 + (D28)+(F28*4)</f>
        <v>49.06</v>
      </c>
      <c r="O28" s="5">
        <v>11.78</v>
      </c>
      <c r="P28" s="5">
        <f t="shared" si="0"/>
        <v>72.930000000000007</v>
      </c>
      <c r="Q28" s="5">
        <f t="shared" si="1"/>
        <v>84.710000000000008</v>
      </c>
      <c r="R28" s="5">
        <f t="shared" si="2"/>
        <v>133.77000000000001</v>
      </c>
    </row>
    <row r="29" spans="1:18" s="19" customFormat="1" ht="15.75" thickBot="1">
      <c r="A29" s="69" t="s">
        <v>56</v>
      </c>
      <c r="B29" s="70">
        <v>0</v>
      </c>
      <c r="C29" s="72" t="s">
        <v>24</v>
      </c>
      <c r="D29" s="5">
        <f>19.85-5.61-3.84</f>
        <v>10.400000000000002</v>
      </c>
      <c r="E29" s="64">
        <v>1000</v>
      </c>
      <c r="F29" s="70">
        <f>9.45-5.61</f>
        <v>3.839999999999999</v>
      </c>
      <c r="G29" s="83">
        <v>1001</v>
      </c>
      <c r="H29" s="84"/>
      <c r="I29" s="85"/>
      <c r="J29" s="83"/>
      <c r="K29" s="84"/>
      <c r="L29" s="85"/>
      <c r="M29" s="84"/>
      <c r="N29" s="5">
        <f>B29 + (D29*3)+(F29*10)</f>
        <v>69.599999999999994</v>
      </c>
      <c r="O29" s="5">
        <v>11.78</v>
      </c>
      <c r="P29" s="5">
        <f t="shared" si="0"/>
        <v>72.930000000000007</v>
      </c>
      <c r="Q29" s="5">
        <f t="shared" si="1"/>
        <v>84.710000000000008</v>
      </c>
      <c r="R29" s="5">
        <f t="shared" si="2"/>
        <v>154.31</v>
      </c>
    </row>
    <row r="30" spans="1:18" s="19" customFormat="1" ht="15.75" thickBot="1">
      <c r="A30" s="69" t="s">
        <v>97</v>
      </c>
      <c r="B30" s="70"/>
      <c r="C30" s="72">
        <f>31-11.78</f>
        <v>19.22</v>
      </c>
      <c r="D30" s="5">
        <f>5.6-5.61</f>
        <v>-1.0000000000000675E-2</v>
      </c>
      <c r="E30" s="64">
        <v>1000</v>
      </c>
      <c r="F30" s="70"/>
      <c r="G30" s="83"/>
      <c r="H30" s="84"/>
      <c r="I30" s="85"/>
      <c r="J30" s="83"/>
      <c r="K30" s="84"/>
      <c r="L30" s="85"/>
      <c r="M30" s="84"/>
      <c r="N30" s="5">
        <f t="shared" si="3"/>
        <v>-0.13000000000000878</v>
      </c>
      <c r="O30" s="5">
        <v>11.78</v>
      </c>
      <c r="P30" s="5">
        <f t="shared" si="0"/>
        <v>72.930000000000007</v>
      </c>
      <c r="Q30" s="5">
        <f t="shared" si="1"/>
        <v>84.710000000000008</v>
      </c>
      <c r="R30" s="5">
        <f t="shared" si="2"/>
        <v>84.58</v>
      </c>
    </row>
    <row r="31" spans="1:18" s="19" customFormat="1" ht="15.75" thickBot="1">
      <c r="A31" s="69" t="s">
        <v>28</v>
      </c>
      <c r="B31" s="70">
        <v>0</v>
      </c>
      <c r="C31" s="72"/>
      <c r="D31" s="5">
        <v>3.82</v>
      </c>
      <c r="E31" s="64">
        <v>1000</v>
      </c>
      <c r="F31" s="70"/>
      <c r="G31" s="83"/>
      <c r="H31" s="84"/>
      <c r="I31" s="85"/>
      <c r="J31" s="83"/>
      <c r="K31" s="84"/>
      <c r="L31" s="85"/>
      <c r="M31" s="84"/>
      <c r="N31" s="5">
        <f t="shared" si="3"/>
        <v>49.66</v>
      </c>
      <c r="O31" s="5">
        <v>11.78</v>
      </c>
      <c r="P31" s="5">
        <f t="shared" si="0"/>
        <v>72.930000000000007</v>
      </c>
      <c r="Q31" s="5">
        <f t="shared" si="1"/>
        <v>84.710000000000008</v>
      </c>
      <c r="R31" s="5">
        <f t="shared" si="2"/>
        <v>134.37</v>
      </c>
    </row>
    <row r="32" spans="1:18" s="19" customFormat="1" ht="15.75" thickBot="1">
      <c r="A32" s="69" t="s">
        <v>66</v>
      </c>
      <c r="B32" s="70">
        <f>6.67</f>
        <v>6.67</v>
      </c>
      <c r="C32" s="72" t="s">
        <v>24</v>
      </c>
      <c r="D32" s="5">
        <f>7.3</f>
        <v>7.3</v>
      </c>
      <c r="E32" s="64">
        <v>1000</v>
      </c>
      <c r="F32" s="70"/>
      <c r="G32" s="83"/>
      <c r="H32" s="84"/>
      <c r="I32" s="85"/>
      <c r="J32" s="83"/>
      <c r="K32" s="84"/>
      <c r="L32" s="85"/>
      <c r="M32" s="84"/>
      <c r="N32" s="5">
        <f t="shared" si="3"/>
        <v>114.91</v>
      </c>
      <c r="O32" s="5" t="s">
        <v>115</v>
      </c>
      <c r="P32" s="5">
        <f t="shared" si="0"/>
        <v>72.930000000000007</v>
      </c>
      <c r="Q32" s="5" t="s">
        <v>115</v>
      </c>
      <c r="R32" s="5">
        <f>N32</f>
        <v>114.91</v>
      </c>
    </row>
    <row r="33" spans="1:18" s="19" customFormat="1" ht="15.75" thickBot="1">
      <c r="A33" s="69" t="s">
        <v>92</v>
      </c>
      <c r="B33" s="70"/>
      <c r="C33" s="72">
        <f>22.56-10.61</f>
        <v>11.95</v>
      </c>
      <c r="D33" s="5">
        <v>1.63</v>
      </c>
      <c r="E33" s="64">
        <v>1000</v>
      </c>
      <c r="F33" s="70"/>
      <c r="G33" s="83"/>
      <c r="H33" s="84"/>
      <c r="I33" s="85"/>
      <c r="J33" s="83"/>
      <c r="K33" s="84"/>
      <c r="L33" s="85"/>
      <c r="M33" s="84"/>
      <c r="N33" s="5">
        <f t="shared" si="3"/>
        <v>21.189999999999998</v>
      </c>
      <c r="O33" s="5">
        <v>11.78</v>
      </c>
      <c r="P33" s="5">
        <f t="shared" si="0"/>
        <v>72.930000000000007</v>
      </c>
      <c r="Q33" s="5">
        <f t="shared" si="1"/>
        <v>84.710000000000008</v>
      </c>
      <c r="R33" s="5">
        <f t="shared" si="2"/>
        <v>105.9</v>
      </c>
    </row>
    <row r="34" spans="1:18" s="19" customFormat="1" ht="18" thickBot="1">
      <c r="A34" s="69" t="s">
        <v>129</v>
      </c>
      <c r="B34" s="70">
        <v>0</v>
      </c>
      <c r="C34" s="72" t="s">
        <v>24</v>
      </c>
      <c r="D34" s="5">
        <v>6</v>
      </c>
      <c r="E34" s="64">
        <v>1000</v>
      </c>
      <c r="F34" s="70"/>
      <c r="G34" s="83"/>
      <c r="H34" s="84"/>
      <c r="I34" s="85"/>
      <c r="J34" s="83"/>
      <c r="K34" s="84"/>
      <c r="L34" s="85"/>
      <c r="M34" s="84"/>
      <c r="N34" s="5">
        <f t="shared" si="3"/>
        <v>78</v>
      </c>
      <c r="O34" s="5">
        <v>11.78</v>
      </c>
      <c r="P34" s="5">
        <f t="shared" si="0"/>
        <v>72.930000000000007</v>
      </c>
      <c r="Q34" s="5">
        <f t="shared" si="1"/>
        <v>84.710000000000008</v>
      </c>
      <c r="R34" s="5">
        <f t="shared" si="2"/>
        <v>162.71</v>
      </c>
    </row>
    <row r="35" spans="1:18" s="19" customFormat="1" ht="15.75" thickBot="1">
      <c r="A35" s="69" t="s">
        <v>64</v>
      </c>
      <c r="B35" s="70">
        <v>0</v>
      </c>
      <c r="C35" s="72" t="s">
        <v>24</v>
      </c>
      <c r="D35" s="5">
        <v>1.5</v>
      </c>
      <c r="E35" s="64">
        <v>1000</v>
      </c>
      <c r="F35" s="70"/>
      <c r="G35" s="83"/>
      <c r="H35" s="84"/>
      <c r="I35" s="85"/>
      <c r="J35" s="83"/>
      <c r="K35" s="84"/>
      <c r="L35" s="85"/>
      <c r="M35" s="84"/>
      <c r="N35" s="5">
        <f t="shared" si="3"/>
        <v>19.5</v>
      </c>
      <c r="O35" s="5">
        <v>11.78</v>
      </c>
      <c r="P35" s="5">
        <f t="shared" si="0"/>
        <v>72.930000000000007</v>
      </c>
      <c r="Q35" s="5">
        <f t="shared" si="1"/>
        <v>84.710000000000008</v>
      </c>
      <c r="R35" s="5">
        <f t="shared" si="2"/>
        <v>104.21000000000001</v>
      </c>
    </row>
    <row r="36" spans="1:18" s="19" customFormat="1" ht="15.75" thickBot="1">
      <c r="A36" s="69" t="s">
        <v>42</v>
      </c>
      <c r="B36" s="70">
        <v>8.07</v>
      </c>
      <c r="C36" s="72"/>
      <c r="D36" s="5">
        <v>2.89</v>
      </c>
      <c r="E36" s="64">
        <v>1000</v>
      </c>
      <c r="F36" s="70"/>
      <c r="G36" s="83"/>
      <c r="H36" s="84"/>
      <c r="I36" s="85"/>
      <c r="J36" s="83"/>
      <c r="K36" s="84"/>
      <c r="L36" s="85"/>
      <c r="M36" s="84"/>
      <c r="N36" s="5">
        <f t="shared" si="3"/>
        <v>61.78</v>
      </c>
      <c r="O36" s="5">
        <v>11.78</v>
      </c>
      <c r="P36" s="5">
        <f t="shared" si="0"/>
        <v>72.930000000000007</v>
      </c>
      <c r="Q36" s="5">
        <f t="shared" si="1"/>
        <v>84.710000000000008</v>
      </c>
      <c r="R36" s="5">
        <f t="shared" si="2"/>
        <v>146.49</v>
      </c>
    </row>
    <row r="37" spans="1:18" s="19" customFormat="1" ht="15.75" thickBot="1">
      <c r="A37" s="69" t="s">
        <v>80</v>
      </c>
      <c r="B37" s="70"/>
      <c r="C37" s="72">
        <v>0</v>
      </c>
      <c r="D37" s="5">
        <v>4.5</v>
      </c>
      <c r="E37" s="64">
        <v>1000</v>
      </c>
      <c r="F37" s="70"/>
      <c r="G37" s="83"/>
      <c r="H37" s="84"/>
      <c r="I37" s="85"/>
      <c r="J37" s="83"/>
      <c r="K37" s="84"/>
      <c r="L37" s="85"/>
      <c r="M37" s="84"/>
      <c r="N37" s="5">
        <f t="shared" si="3"/>
        <v>58.5</v>
      </c>
      <c r="O37" s="5">
        <v>11.78</v>
      </c>
      <c r="P37" s="5">
        <f t="shared" si="0"/>
        <v>72.930000000000007</v>
      </c>
      <c r="Q37" s="5">
        <f t="shared" si="1"/>
        <v>84.710000000000008</v>
      </c>
      <c r="R37" s="5">
        <f t="shared" si="2"/>
        <v>143.21</v>
      </c>
    </row>
    <row r="38" spans="1:18" s="19" customFormat="1" ht="15.75" thickBot="1">
      <c r="A38" s="69" t="s">
        <v>47</v>
      </c>
      <c r="B38" s="70"/>
      <c r="C38" s="72">
        <v>0</v>
      </c>
      <c r="D38" s="5">
        <v>0</v>
      </c>
      <c r="E38" s="64">
        <v>1000</v>
      </c>
      <c r="F38" s="70"/>
      <c r="G38" s="83"/>
      <c r="H38" s="84"/>
      <c r="I38" s="85"/>
      <c r="J38" s="83"/>
      <c r="K38" s="84"/>
      <c r="L38" s="85"/>
      <c r="M38" s="84"/>
      <c r="N38" s="5">
        <f t="shared" si="3"/>
        <v>0</v>
      </c>
      <c r="O38" s="5">
        <v>11.78</v>
      </c>
      <c r="P38" s="5">
        <f t="shared" si="0"/>
        <v>72.930000000000007</v>
      </c>
      <c r="Q38" s="5">
        <f t="shared" si="1"/>
        <v>84.710000000000008</v>
      </c>
      <c r="R38" s="5">
        <f t="shared" si="2"/>
        <v>84.710000000000008</v>
      </c>
    </row>
    <row r="39" spans="1:18" s="19" customFormat="1" ht="15.75" thickBot="1">
      <c r="A39" s="69" t="s">
        <v>57</v>
      </c>
      <c r="B39" s="70">
        <v>4.91</v>
      </c>
      <c r="C39" s="72" t="s">
        <v>24</v>
      </c>
      <c r="D39" s="5">
        <f>(5.61*2.25)-5.61</f>
        <v>7.0125000000000002</v>
      </c>
      <c r="E39" s="64">
        <v>1000</v>
      </c>
      <c r="F39" s="70"/>
      <c r="G39" s="83"/>
      <c r="H39" s="84"/>
      <c r="I39" s="85"/>
      <c r="J39" s="83"/>
      <c r="K39" s="84"/>
      <c r="L39" s="85"/>
      <c r="M39" s="84"/>
      <c r="N39" s="5">
        <f t="shared" si="3"/>
        <v>105.89250000000001</v>
      </c>
      <c r="O39" s="5">
        <v>11.78</v>
      </c>
      <c r="P39" s="5">
        <f t="shared" si="0"/>
        <v>72.930000000000007</v>
      </c>
      <c r="Q39" s="5">
        <f t="shared" si="1"/>
        <v>84.710000000000008</v>
      </c>
      <c r="R39" s="5">
        <f t="shared" si="2"/>
        <v>190.60250000000002</v>
      </c>
    </row>
    <row r="40" spans="1:18" s="19" customFormat="1" ht="15.75" thickBot="1">
      <c r="A40" s="69" t="s">
        <v>89</v>
      </c>
      <c r="B40" s="70">
        <v>1.1499999999999999</v>
      </c>
      <c r="C40" s="72"/>
      <c r="D40" s="5">
        <v>4.0999999999999996</v>
      </c>
      <c r="E40" s="64">
        <v>1000</v>
      </c>
      <c r="F40" s="70"/>
      <c r="G40" s="83"/>
      <c r="H40" s="84"/>
      <c r="I40" s="85"/>
      <c r="J40" s="83"/>
      <c r="K40" s="84"/>
      <c r="L40" s="85"/>
      <c r="M40" s="84"/>
      <c r="N40" s="5">
        <f t="shared" si="3"/>
        <v>56.75</v>
      </c>
      <c r="O40" s="5">
        <v>11.78</v>
      </c>
      <c r="P40" s="5">
        <f t="shared" si="0"/>
        <v>72.930000000000007</v>
      </c>
      <c r="Q40" s="5">
        <f t="shared" si="1"/>
        <v>84.710000000000008</v>
      </c>
      <c r="R40" s="5">
        <f t="shared" si="2"/>
        <v>141.46</v>
      </c>
    </row>
    <row r="41" spans="1:18" s="19" customFormat="1" ht="15.75" thickBot="1">
      <c r="A41" s="69" t="s">
        <v>105</v>
      </c>
      <c r="B41" s="70">
        <f>17-3.93</f>
        <v>13.07</v>
      </c>
      <c r="C41" s="72"/>
      <c r="D41" s="5">
        <f>7.58-5.61</f>
        <v>1.9699999999999998</v>
      </c>
      <c r="E41" s="64">
        <v>1000</v>
      </c>
      <c r="F41" s="70"/>
      <c r="G41" s="83"/>
      <c r="H41" s="84"/>
      <c r="I41" s="85"/>
      <c r="J41" s="83"/>
      <c r="K41" s="84" t="s">
        <v>24</v>
      </c>
      <c r="L41" s="85" t="s">
        <v>24</v>
      </c>
      <c r="M41" s="84" t="s">
        <v>24</v>
      </c>
      <c r="N41" s="5">
        <f t="shared" si="3"/>
        <v>64.819999999999993</v>
      </c>
      <c r="O41" s="5">
        <v>11.78</v>
      </c>
      <c r="P41" s="5">
        <f t="shared" si="0"/>
        <v>72.930000000000007</v>
      </c>
      <c r="Q41" s="5">
        <f t="shared" si="1"/>
        <v>84.710000000000008</v>
      </c>
      <c r="R41" s="5">
        <f t="shared" si="2"/>
        <v>149.53</v>
      </c>
    </row>
    <row r="42" spans="1:18" s="19" customFormat="1" ht="15.75" thickBot="1">
      <c r="A42" s="69" t="s">
        <v>43</v>
      </c>
      <c r="B42" s="70"/>
      <c r="C42" s="72"/>
      <c r="D42" s="5">
        <v>11.95</v>
      </c>
      <c r="E42" s="64">
        <v>4500</v>
      </c>
      <c r="F42" s="87">
        <v>2.5000000000000001E-3</v>
      </c>
      <c r="G42" s="83">
        <v>4501</v>
      </c>
      <c r="H42" s="84"/>
      <c r="I42" s="85"/>
      <c r="J42" s="83"/>
      <c r="K42" s="84"/>
      <c r="L42" s="85"/>
      <c r="M42" s="84"/>
      <c r="N42" s="5">
        <f>(D42*3)+(F42*1300)</f>
        <v>39.099999999999994</v>
      </c>
      <c r="O42" s="5">
        <v>11.78</v>
      </c>
      <c r="P42" s="5">
        <f t="shared" si="0"/>
        <v>72.930000000000007</v>
      </c>
      <c r="Q42" s="5">
        <f t="shared" si="1"/>
        <v>84.710000000000008</v>
      </c>
      <c r="R42" s="5">
        <f t="shared" si="2"/>
        <v>123.81</v>
      </c>
    </row>
    <row r="43" spans="1:18" s="19" customFormat="1">
      <c r="A43" s="86" t="s">
        <v>83</v>
      </c>
      <c r="B43" s="70"/>
      <c r="C43" s="72">
        <v>0</v>
      </c>
      <c r="D43" s="5">
        <v>4.21</v>
      </c>
      <c r="E43" s="64">
        <v>1000</v>
      </c>
      <c r="F43" s="70"/>
      <c r="G43" s="83"/>
      <c r="H43" s="84"/>
      <c r="I43" s="85"/>
      <c r="J43" s="83"/>
      <c r="K43" s="84"/>
      <c r="L43" s="85"/>
      <c r="M43" s="84"/>
      <c r="N43" s="5">
        <f t="shared" si="3"/>
        <v>54.73</v>
      </c>
      <c r="O43" s="5">
        <v>11.78</v>
      </c>
      <c r="P43" s="5">
        <f t="shared" si="0"/>
        <v>72.930000000000007</v>
      </c>
      <c r="Q43" s="5">
        <f t="shared" si="1"/>
        <v>84.710000000000008</v>
      </c>
      <c r="R43" s="5">
        <f t="shared" si="2"/>
        <v>139.44</v>
      </c>
    </row>
    <row r="44" spans="1:18" s="19" customFormat="1" ht="15.75" thickBot="1">
      <c r="A44" s="89"/>
      <c r="B44" s="90"/>
      <c r="C44" s="91"/>
      <c r="D44" s="92"/>
      <c r="E44" s="93"/>
      <c r="F44" s="94"/>
      <c r="G44" s="95"/>
      <c r="H44" s="96"/>
      <c r="I44" s="94"/>
      <c r="J44" s="95"/>
      <c r="K44" s="96"/>
      <c r="L44" s="94"/>
      <c r="M44" s="96"/>
      <c r="N44" s="92"/>
      <c r="O44" s="88" t="s">
        <v>24</v>
      </c>
      <c r="P44" s="88" t="s">
        <v>24</v>
      </c>
      <c r="Q44" s="88" t="s">
        <v>24</v>
      </c>
      <c r="R44" s="88" t="s">
        <v>24</v>
      </c>
    </row>
    <row r="46" spans="1:18">
      <c r="A46" s="2" t="s">
        <v>31</v>
      </c>
      <c r="B46" s="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8">
      <c r="B47" s="18" t="s">
        <v>32</v>
      </c>
      <c r="Q47" s="18" t="s">
        <v>24</v>
      </c>
      <c r="R47" s="36" t="s">
        <v>24</v>
      </c>
    </row>
    <row r="48" spans="1:18">
      <c r="B48" s="9" t="s">
        <v>108</v>
      </c>
      <c r="C48" s="19"/>
      <c r="D48" s="19"/>
      <c r="E48" s="19"/>
      <c r="F48" s="19"/>
      <c r="G48" s="19"/>
    </row>
    <row r="49" spans="2:7" ht="15.75">
      <c r="B49" s="37" t="s">
        <v>107</v>
      </c>
      <c r="C49" s="19"/>
      <c r="D49" s="19"/>
      <c r="E49" s="19"/>
      <c r="F49" s="19"/>
      <c r="G49" s="19"/>
    </row>
    <row r="50" spans="2:7">
      <c r="B50" s="18" t="s">
        <v>114</v>
      </c>
    </row>
  </sheetData>
  <sheetProtection formatCells="0" formatColumns="0" formatRows="0"/>
  <pageMargins left="0.7" right="0.7" top="0.75" bottom="0.75" header="0.3" footer="0.3"/>
  <pageSetup paperSize="5" scale="94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ALCOSAN Eastern Basin</vt:lpstr>
      <vt:lpstr>ALCOSAN Northern Basin</vt:lpstr>
      <vt:lpstr>ALCOSAN Southern Basin</vt:lpstr>
      <vt:lpstr>'ALCOSAN Eastern Basin'!Print_Area</vt:lpstr>
      <vt:lpstr>'ALCOSAN Northern Basin'!Print_Area</vt:lpstr>
      <vt:lpstr>'ALCOSAN Southern Basin'!Print_Area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jbrown</dc:creator>
  <cp:lastModifiedBy>bhixson</cp:lastModifiedBy>
  <cp:lastPrinted>2015-05-15T15:51:20Z</cp:lastPrinted>
  <dcterms:created xsi:type="dcterms:W3CDTF">2010-10-20T16:43:27Z</dcterms:created>
  <dcterms:modified xsi:type="dcterms:W3CDTF">2015-05-20T13:58:56Z</dcterms:modified>
</cp:coreProperties>
</file>