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X:\Municipal Support\Sewer Rate Surveys\2021 Sewer Rate Update\"/>
    </mc:Choice>
  </mc:AlternateContent>
  <xr:revisionPtr revIDLastSave="0" documentId="13_ncr:1_{A680FEFD-F433-42DD-97A5-00D2D744FF50}" xr6:coauthVersionLast="46" xr6:coauthVersionMax="46" xr10:uidLastSave="{00000000-0000-0000-0000-000000000000}"/>
  <bookViews>
    <workbookView xWindow="1905" yWindow="165" windowWidth="25005" windowHeight="15345" activeTab="2" xr2:uid="{00000000-000D-0000-FFFF-FFFF00000000}"/>
  </bookViews>
  <sheets>
    <sheet name="ALCOSAN Eastern Basin" sheetId="1" r:id="rId1"/>
    <sheet name="ALCOSAN Southern Basin" sheetId="3" r:id="rId2"/>
    <sheet name="ALCOSAN Northern Basin" sheetId="2" r:id="rId3"/>
  </sheets>
  <definedNames>
    <definedName name="_xlnm.Print_Area" localSheetId="0">'ALCOSAN Eastern Basin'!$A$1:$I$33</definedName>
    <definedName name="_xlnm.Print_Area" localSheetId="2">'ALCOSAN Northern Basin'!$A$1:$I$34</definedName>
    <definedName name="_xlnm.Print_Area" localSheetId="1">'ALCOSAN Southern Basin'!$B$1:$I$43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2" l="1"/>
  <c r="L12" i="2" l="1"/>
  <c r="M12" i="2" s="1"/>
  <c r="E12" i="2"/>
  <c r="D12" i="2"/>
  <c r="I12" i="2" s="1"/>
  <c r="N12" i="2" s="1"/>
  <c r="E21" i="2"/>
  <c r="D21" i="2"/>
  <c r="E34" i="3"/>
  <c r="E28" i="2"/>
  <c r="E29" i="2"/>
  <c r="E8" i="1"/>
  <c r="D8" i="1"/>
  <c r="I33" i="3"/>
  <c r="D33" i="3"/>
  <c r="G22" i="3" l="1"/>
  <c r="E22" i="3"/>
  <c r="C40" i="3"/>
  <c r="E40" i="3"/>
  <c r="E17" i="3"/>
  <c r="E13" i="3"/>
  <c r="E30" i="1"/>
  <c r="G13" i="2"/>
  <c r="E13" i="2"/>
  <c r="E15" i="3"/>
  <c r="C15" i="3"/>
  <c r="E32" i="3"/>
  <c r="I30" i="2"/>
  <c r="E26" i="2"/>
  <c r="D26" i="2"/>
  <c r="L27" i="2"/>
  <c r="M27" i="2" s="1"/>
  <c r="E27" i="2"/>
  <c r="I27" i="2" s="1"/>
  <c r="E15" i="2"/>
  <c r="C15" i="2"/>
  <c r="E17" i="2"/>
  <c r="D17" i="2"/>
  <c r="N27" i="2" l="1"/>
  <c r="G24" i="2"/>
  <c r="E24" i="2"/>
  <c r="I24" i="2" s="1"/>
  <c r="E33" i="2"/>
  <c r="E22" i="2"/>
  <c r="D22" i="2"/>
  <c r="E32" i="2" l="1"/>
  <c r="I32" i="2" s="1"/>
  <c r="C31" i="2"/>
  <c r="I31" i="2" s="1"/>
  <c r="E9" i="2" l="1"/>
  <c r="D9" i="2"/>
  <c r="L9" i="2"/>
  <c r="L10" i="2"/>
  <c r="L11" i="2"/>
  <c r="L13" i="2"/>
  <c r="L14" i="2"/>
  <c r="L15" i="2"/>
  <c r="L16" i="2"/>
  <c r="L17" i="2"/>
  <c r="L18" i="2"/>
  <c r="L19" i="2"/>
  <c r="L20" i="2"/>
  <c r="L21" i="2"/>
  <c r="L22" i="2"/>
  <c r="L23" i="2"/>
  <c r="L24" i="2"/>
  <c r="L25" i="2"/>
  <c r="L26" i="2"/>
  <c r="L28" i="2"/>
  <c r="L29" i="2"/>
  <c r="L30" i="2"/>
  <c r="L31" i="2"/>
  <c r="L32" i="2"/>
  <c r="L33" i="2"/>
  <c r="L34" i="2"/>
  <c r="L8" i="2"/>
  <c r="E41" i="3"/>
  <c r="C41" i="3"/>
  <c r="E43" i="3"/>
  <c r="E39" i="3" l="1"/>
  <c r="C39" i="3"/>
  <c r="C36" i="3"/>
  <c r="E36" i="3"/>
  <c r="E33" i="3"/>
  <c r="I32" i="3"/>
  <c r="C32" i="3" l="1"/>
  <c r="E30" i="3"/>
  <c r="D30" i="3"/>
  <c r="I31" i="3"/>
  <c r="E27" i="3"/>
  <c r="C27" i="3"/>
  <c r="G29" i="3"/>
  <c r="E29" i="3"/>
  <c r="E20" i="3"/>
  <c r="C20" i="3"/>
  <c r="I28" i="3"/>
  <c r="E28" i="3"/>
  <c r="G28" i="3"/>
  <c r="E23" i="3" l="1"/>
  <c r="C23" i="3"/>
  <c r="E11" i="3" l="1"/>
  <c r="C11" i="3"/>
  <c r="E10" i="3"/>
  <c r="C10" i="3"/>
  <c r="M9" i="3" l="1"/>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8" i="3"/>
  <c r="C8" i="3"/>
  <c r="E18" i="1" l="1"/>
  <c r="G19" i="1"/>
  <c r="E19" i="1"/>
  <c r="E29" i="1"/>
  <c r="D29" i="1"/>
  <c r="I27" i="1"/>
  <c r="E27" i="1"/>
  <c r="E25" i="1"/>
  <c r="D25" i="1"/>
  <c r="I24" i="1"/>
  <c r="N24" i="1" s="1"/>
  <c r="E23" i="1"/>
  <c r="G21" i="1"/>
  <c r="E21" i="1"/>
  <c r="E20" i="1"/>
  <c r="D20" i="1"/>
  <c r="E16" i="1" l="1"/>
  <c r="I15" i="1" l="1"/>
  <c r="L15" i="1"/>
  <c r="M15" i="1"/>
  <c r="N15" i="1"/>
  <c r="E13" i="1"/>
  <c r="D13" i="1"/>
  <c r="G12" i="1"/>
  <c r="E12" i="1"/>
  <c r="L9" i="1" l="1"/>
  <c r="L10" i="1"/>
  <c r="L11" i="1"/>
  <c r="L12" i="1"/>
  <c r="L13" i="1"/>
  <c r="L14" i="1"/>
  <c r="L16" i="1"/>
  <c r="L17" i="1"/>
  <c r="L18" i="1"/>
  <c r="L19" i="1"/>
  <c r="L20" i="1"/>
  <c r="L21" i="1"/>
  <c r="L22" i="1"/>
  <c r="L23" i="1"/>
  <c r="L24" i="1"/>
  <c r="L25" i="1"/>
  <c r="L26" i="1"/>
  <c r="L27" i="1"/>
  <c r="L28" i="1"/>
  <c r="L29" i="1"/>
  <c r="L30" i="1"/>
  <c r="L31" i="1"/>
  <c r="L32" i="1"/>
  <c r="L33" i="1"/>
  <c r="L8" i="1"/>
  <c r="I29" i="3" l="1"/>
  <c r="I27" i="3" l="1"/>
  <c r="I10" i="2"/>
  <c r="I20" i="3" l="1"/>
  <c r="I19" i="1" l="1"/>
  <c r="I21" i="3"/>
  <c r="G23" i="2"/>
  <c r="I34" i="3"/>
  <c r="I24" i="3"/>
  <c r="C23" i="2"/>
  <c r="I21" i="2"/>
  <c r="I22" i="3"/>
  <c r="I17" i="3"/>
  <c r="I13" i="3"/>
  <c r="E9" i="3"/>
  <c r="I9" i="3" s="1"/>
  <c r="I40" i="3" l="1"/>
  <c r="I14" i="2"/>
  <c r="I34" i="2"/>
  <c r="I39" i="3"/>
  <c r="I37" i="3"/>
  <c r="I36" i="3"/>
  <c r="I35" i="3"/>
  <c r="I18" i="3"/>
  <c r="I26" i="3" l="1"/>
  <c r="I25" i="3"/>
  <c r="I23" i="3" l="1"/>
  <c r="I16" i="3"/>
  <c r="I43" i="3" l="1"/>
  <c r="I41" i="3" l="1"/>
  <c r="I15" i="3"/>
  <c r="I14" i="3"/>
  <c r="I11" i="3"/>
  <c r="I12" i="3"/>
  <c r="I10" i="3"/>
  <c r="E8" i="3"/>
  <c r="I8" i="3"/>
  <c r="I30" i="3" l="1"/>
  <c r="I33" i="2"/>
  <c r="I29" i="2"/>
  <c r="I28" i="2"/>
  <c r="M23" i="1" l="1"/>
  <c r="I23" i="1"/>
  <c r="I26" i="2"/>
  <c r="I15" i="2"/>
  <c r="I22" i="2"/>
  <c r="I17" i="2"/>
  <c r="I19" i="2"/>
  <c r="I18" i="2"/>
  <c r="I20" i="2"/>
  <c r="I25" i="2"/>
  <c r="I16" i="2"/>
  <c r="N31" i="3" l="1"/>
  <c r="N23" i="1"/>
  <c r="I9" i="2"/>
  <c r="I8" i="2"/>
  <c r="I30" i="1"/>
  <c r="I29" i="1" l="1"/>
  <c r="I21" i="1"/>
  <c r="I16" i="1" l="1"/>
  <c r="I12" i="1"/>
  <c r="I8" i="1" l="1"/>
  <c r="I33" i="1"/>
  <c r="I32" i="1"/>
  <c r="I31" i="1"/>
  <c r="I28" i="1"/>
  <c r="I26" i="1"/>
  <c r="I22" i="1"/>
  <c r="I17" i="1"/>
  <c r="I14" i="1"/>
  <c r="I13" i="1"/>
  <c r="I11" i="1"/>
  <c r="I10" i="1"/>
  <c r="I9" i="1"/>
  <c r="I20" i="1"/>
  <c r="I25" i="1" l="1"/>
  <c r="I23" i="2"/>
  <c r="D13" i="2" l="1"/>
  <c r="I13" i="2" s="1"/>
  <c r="I42" i="3" l="1"/>
  <c r="M22" i="2" l="1"/>
  <c r="M23" i="2"/>
  <c r="M24" i="2"/>
  <c r="M25" i="2"/>
  <c r="M26" i="2"/>
  <c r="M28" i="2"/>
  <c r="M29" i="2"/>
  <c r="M30" i="2"/>
  <c r="M31" i="2"/>
  <c r="M32" i="2"/>
  <c r="M33" i="2"/>
  <c r="M34" i="2"/>
  <c r="M9" i="2"/>
  <c r="M10" i="2"/>
  <c r="M11" i="2"/>
  <c r="M13" i="2"/>
  <c r="M14" i="2"/>
  <c r="M15" i="2"/>
  <c r="M16" i="2"/>
  <c r="M17" i="2"/>
  <c r="M20" i="2"/>
  <c r="M18" i="2"/>
  <c r="M19" i="2"/>
  <c r="M21" i="2"/>
  <c r="M8" i="2"/>
  <c r="M10" i="1"/>
  <c r="M11" i="1"/>
  <c r="M12" i="1"/>
  <c r="M13" i="1"/>
  <c r="M14" i="1"/>
  <c r="M16" i="1"/>
  <c r="M17" i="1"/>
  <c r="M18" i="1"/>
  <c r="M19" i="1"/>
  <c r="M20" i="1"/>
  <c r="M21" i="1"/>
  <c r="M22" i="1"/>
  <c r="M24" i="1"/>
  <c r="M26" i="1"/>
  <c r="M27" i="1"/>
  <c r="M28" i="1"/>
  <c r="M29" i="1"/>
  <c r="M30" i="1"/>
  <c r="M31" i="1"/>
  <c r="M32" i="1"/>
  <c r="M9" i="1"/>
  <c r="M25" i="1"/>
  <c r="M33" i="1"/>
  <c r="M8" i="1"/>
  <c r="M8" i="3"/>
  <c r="E19" i="3" l="1"/>
  <c r="I19" i="3" s="1"/>
  <c r="I18" i="1" l="1"/>
  <c r="N14" i="1" l="1"/>
  <c r="I11" i="2"/>
  <c r="I38" i="3"/>
  <c r="N32" i="3" l="1"/>
  <c r="N29" i="3" l="1"/>
  <c r="N33" i="2"/>
  <c r="N31" i="2"/>
  <c r="N30" i="2"/>
  <c r="N29" i="2"/>
  <c r="N28" i="2"/>
  <c r="N26" i="2"/>
  <c r="N23" i="2"/>
  <c r="N20" i="2"/>
  <c r="N16" i="2"/>
  <c r="N15" i="2"/>
  <c r="N14" i="2"/>
  <c r="N13" i="2"/>
  <c r="N10" i="2"/>
  <c r="N27" i="1"/>
  <c r="N25" i="1"/>
  <c r="N20" i="1"/>
  <c r="N19" i="1"/>
  <c r="N16" i="1"/>
  <c r="N13" i="1"/>
  <c r="N12" i="1"/>
  <c r="N17" i="2" l="1"/>
  <c r="N10" i="3"/>
  <c r="N22" i="2"/>
  <c r="N18" i="2"/>
  <c r="N19" i="2"/>
  <c r="N21" i="2"/>
  <c r="N24" i="2"/>
  <c r="N25" i="2"/>
  <c r="N34" i="2"/>
  <c r="N9" i="2"/>
  <c r="N11" i="2"/>
  <c r="N8" i="2"/>
  <c r="N21" i="1"/>
  <c r="N22" i="1"/>
  <c r="N18" i="1"/>
  <c r="N9" i="1"/>
  <c r="N10" i="1"/>
  <c r="N11" i="1"/>
  <c r="N17" i="1"/>
  <c r="N26" i="1"/>
  <c r="N28" i="1"/>
  <c r="N29" i="1"/>
  <c r="N30" i="1"/>
  <c r="N31" i="1"/>
  <c r="N32" i="1"/>
  <c r="N33" i="1"/>
  <c r="N8" i="1"/>
  <c r="N16" i="3"/>
  <c r="N17" i="3"/>
  <c r="N18" i="3"/>
  <c r="N19" i="3"/>
  <c r="N20" i="3"/>
  <c r="N21" i="3"/>
  <c r="N22" i="3"/>
  <c r="N23" i="3"/>
  <c r="N24" i="3"/>
  <c r="N25" i="3"/>
  <c r="N26" i="3"/>
  <c r="N27" i="3"/>
  <c r="N28" i="3"/>
  <c r="N30" i="3"/>
  <c r="N33" i="3"/>
  <c r="N34" i="3"/>
  <c r="N35" i="3"/>
  <c r="N36" i="3"/>
  <c r="N37" i="3"/>
  <c r="N38" i="3"/>
  <c r="N39" i="3"/>
  <c r="N40" i="3"/>
  <c r="N41" i="3"/>
  <c r="N42" i="3"/>
  <c r="N43" i="3"/>
  <c r="N8" i="3"/>
  <c r="N9" i="3"/>
  <c r="N11" i="3"/>
  <c r="N12" i="3"/>
  <c r="N13" i="3"/>
  <c r="N14" i="3"/>
  <c r="N15" i="3"/>
  <c r="N32" i="2"/>
</calcChain>
</file>

<file path=xl/sharedStrings.xml><?xml version="1.0" encoding="utf-8"?>
<sst xmlns="http://schemas.openxmlformats.org/spreadsheetml/2006/main" count="389" uniqueCount="222">
  <si>
    <t>Eastern Basin</t>
  </si>
  <si>
    <t xml:space="preserve">    Service Charge</t>
  </si>
  <si>
    <t>Tier 1*</t>
  </si>
  <si>
    <t>ALCOSAN Charge</t>
  </si>
  <si>
    <t>Monthly</t>
  </si>
  <si>
    <t>Quarterly</t>
  </si>
  <si>
    <t>Rate</t>
  </si>
  <si>
    <t>Gallons</t>
  </si>
  <si>
    <t>from</t>
  </si>
  <si>
    <t>Service Fee</t>
  </si>
  <si>
    <t xml:space="preserve"> </t>
  </si>
  <si>
    <t>Pittsburgh</t>
  </si>
  <si>
    <t>NOTES:</t>
  </si>
  <si>
    <t>Northern Basin</t>
  </si>
  <si>
    <t>Southern Basin</t>
  </si>
  <si>
    <t>Upper St. Clair</t>
  </si>
  <si>
    <t>Kennedy</t>
  </si>
  <si>
    <t>Wall</t>
  </si>
  <si>
    <t xml:space="preserve">Etna </t>
  </si>
  <si>
    <t>Castle Shannon</t>
  </si>
  <si>
    <t>Reserve - Girtys Run Cust.</t>
  </si>
  <si>
    <t>Base</t>
  </si>
  <si>
    <t>Braddock</t>
  </si>
  <si>
    <t>East Pittsburgh</t>
  </si>
  <si>
    <t>Rankin</t>
  </si>
  <si>
    <t xml:space="preserve">Blawnox </t>
  </si>
  <si>
    <t xml:space="preserve">Quarterly ALCOSAN </t>
  </si>
  <si>
    <t>ALCOSAN Base Rate</t>
  </si>
  <si>
    <t>Per 1,000 gallons</t>
  </si>
  <si>
    <t>Municipality/ Authority</t>
  </si>
  <si>
    <t>Municipality/ 
Authority</t>
  </si>
  <si>
    <t xml:space="preserve">        Service Charge</t>
  </si>
  <si>
    <t>Total Charge</t>
  </si>
  <si>
    <t>Total municipal Charge/Quarter</t>
  </si>
  <si>
    <t>Total ALCOSAN Charge/Quarter</t>
  </si>
  <si>
    <t>(Municipal + ALCOSAN)</t>
  </si>
  <si>
    <t xml:space="preserve">* Tiered rates are $/1,000 gallons starting at the gallon level listed. Ex: If the tier says $1.18 at 3,001, that means the rate is $1.18 for every 1,000 gallons over 3,000. </t>
  </si>
  <si>
    <r>
      <rPr>
        <b/>
        <sz val="11"/>
        <rFont val="Calibri"/>
        <family val="2"/>
        <scheme val="minor"/>
      </rPr>
      <t>NOTE:</t>
    </r>
    <r>
      <rPr>
        <sz val="11"/>
        <rFont val="Calibri"/>
        <family val="2"/>
        <scheme val="minor"/>
      </rPr>
      <t xml:space="preserve"> All rates are given in $/1,000 gallons</t>
    </r>
  </si>
  <si>
    <r>
      <rPr>
        <b/>
        <sz val="11"/>
        <rFont val="Calibri"/>
        <family val="2"/>
        <scheme val="minor"/>
      </rPr>
      <t>NOTE</t>
    </r>
    <r>
      <rPr>
        <sz val="11"/>
        <rFont val="Calibri"/>
        <family val="2"/>
        <scheme val="minor"/>
      </rPr>
      <t>: All rates are given in $/1,000 gallons</t>
    </r>
  </si>
  <si>
    <t xml:space="preserve">Total Quarterly Charge (Municipal + ALCOSAN)
</t>
  </si>
  <si>
    <t>Notes</t>
  </si>
  <si>
    <t>Bethel Park^</t>
  </si>
  <si>
    <t xml:space="preserve">Ross^ </t>
  </si>
  <si>
    <t>Shaler^</t>
  </si>
  <si>
    <t>North Huntingdon^</t>
  </si>
  <si>
    <t xml:space="preserve">Swissvale^ </t>
  </si>
  <si>
    <t>Chalfant^</t>
  </si>
  <si>
    <t>Wilkins^</t>
  </si>
  <si>
    <t>North Braddock^</t>
  </si>
  <si>
    <t>Pitcairn^</t>
  </si>
  <si>
    <t>Braddock Hills^</t>
  </si>
  <si>
    <t>Forest Hills^</t>
  </si>
  <si>
    <t>Turtle Creek^</t>
  </si>
  <si>
    <t>Wilmerding^</t>
  </si>
  <si>
    <t>West View^</t>
  </si>
  <si>
    <t>Mt. Oliver^</t>
  </si>
  <si>
    <t>Trafford^</t>
  </si>
  <si>
    <t>Bellevue^</t>
  </si>
  <si>
    <t>Fox Chapel^</t>
  </si>
  <si>
    <t>Brentwood^</t>
  </si>
  <si>
    <t>McKees Rocks^</t>
  </si>
  <si>
    <t>Crafton^</t>
  </si>
  <si>
    <t>Green Tree^</t>
  </si>
  <si>
    <t>Heidelberg^</t>
  </si>
  <si>
    <t>Mt. Lebanon^</t>
  </si>
  <si>
    <t>Whitaker^</t>
  </si>
  <si>
    <t>Penn Township^</t>
  </si>
  <si>
    <t>Avalon^</t>
  </si>
  <si>
    <t>Ben Avon^</t>
  </si>
  <si>
    <t>Dormont^</t>
  </si>
  <si>
    <t>Stowe^</t>
  </si>
  <si>
    <t>West Homestead^</t>
  </si>
  <si>
    <r>
      <t xml:space="preserve">^No increase in </t>
    </r>
    <r>
      <rPr>
        <b/>
        <sz val="11"/>
        <rFont val="Calibri"/>
        <family val="2"/>
        <scheme val="minor"/>
      </rPr>
      <t xml:space="preserve">municipal </t>
    </r>
    <r>
      <rPr>
        <sz val="11"/>
        <rFont val="Calibri"/>
        <family val="2"/>
        <scheme val="minor"/>
      </rPr>
      <t>portion of the sewage bill from 2018</t>
    </r>
  </si>
  <si>
    <t>Communities that use WPJWA for sewer billing incur a charge of $1.50 for each monthly customer bill, but that fee is not included on the customer bill as a sewage charge so it is not included in those communities' rates for this survey.</t>
  </si>
  <si>
    <t>Total Municipal Charges below are based on 12,000 GALLONS/QUARTER before ALCOSAN fees.</t>
  </si>
  <si>
    <t>Based on 12,000 Gallons</t>
  </si>
  <si>
    <t>Aspinwall^</t>
  </si>
  <si>
    <t>Based on 12,000 gallons</t>
  </si>
  <si>
    <t>O'Hara^</t>
  </si>
  <si>
    <t>Ohio Township^</t>
  </si>
  <si>
    <t>Shaler - Girty's Run Area</t>
  </si>
  <si>
    <t>McDonald</t>
  </si>
  <si>
    <t>Scott^</t>
  </si>
  <si>
    <t>Thornburg^</t>
  </si>
  <si>
    <t>Homestead</t>
  </si>
  <si>
    <t>2021 Residential Rate Comparison</t>
  </si>
  <si>
    <t>3/1/21: WPJWA still does the billing.  Checked their rate sheet online and it says the same rate as 2020.  Only ALCOSAN's rate increased. 
3/24/20: WPJWA still does the billing.  Checked their rate sheet online and it says the same rate as 2019.  Only ALCOSAN's rate increased. 
3/7/19: Phone call with Cheryl Sorrentino Borough Secretary.  ALCOSAN rates are listed separately on the bill.  The overall total bill only increased by ALCOSAN's increase. (Billing done by WPJWA)</t>
  </si>
  <si>
    <t>^No increase in municipal portion of the sewage bill from 2020</t>
  </si>
  <si>
    <t>3/1/21: WPJWA still does the billing.  Checked their rate sheet online and it says the same rate as 2020.  Only ALCOSAN's rate increased. 
3/24/20: WPJWA still does the billing.  Checked their rate sheet online and it says the same rate as 2019.  Only ALCOSAN's rate increased. 
2019: Per survey from Stephanie Schwoegel (Feb. 2019), the municipal sewer rates of $4.50/1,000 gal did not increase.  The overall total bill only increased by ALCOSAN's increase of $7.85.  (Billing done by WPJWA)</t>
  </si>
  <si>
    <t>Churchill</t>
  </si>
  <si>
    <t>3/1/21: WPJWA still does the billing.  Checked their rate sheet online and it indicates a rate of $8.50 per 1,000 gallons, which is an increase from the $6.00/1,000 recorded last year.  ALCOSAN's rate also increased on top of the municipal rate.
3/24/20: WPJWA still does the billing.  Checked their rate sheet online and it says the same rate as 2019.  Only ALCOSAN's rate increased. 
2019: Survey completed by Mary Kay Fiore (March 2019). Churchill only charges a usage rate of $6.00/1,000 gallons plus ALCOSAN fees.  No increase for 2019.  Bill monthly.</t>
  </si>
  <si>
    <t>Municipal Billing Cycle</t>
  </si>
  <si>
    <t>3/11/21: WPJWA still does the billing.  Checked their rate sheet online and it says the rate increased to $5.70/1,000 plus alcosan's increase. Confirmed the accuracy by visiting Edgewood's website.
3/24/20: WPJWA still does the billing.  Checked their rate sheet online and it says the same rate as 2019 - $4.70/1,000. Only ALCOSAN's rate increased.
Survey from Rob Zahorchak; Same rate as 2018 $4.70/1,000.  Does not include ALCOSAN rates.  The overall total bill only increased by ALCOSAN's increase of $7.85</t>
  </si>
  <si>
    <t>Service Charge</t>
  </si>
  <si>
    <t xml:space="preserve">Total Municipal Charges below are based on 12,000 GALLONS/QUARTER before ALCOSAN fees. </t>
  </si>
  <si>
    <t>Edgewood</t>
  </si>
  <si>
    <t>*Please note:  The municipal billing cycle is listed for informational purposes only.  The calculations provided in this chart are based on a QUARTERLY bill so that rates can be compared across communities.</t>
  </si>
  <si>
    <t xml:space="preserve">**Tiered rates are $/1,000 gallons starting at the gallon level listed. Ex: If the tier says $1.18 at 3,001, that means the rate is $1.18 for every 1,000 gallons over 3,000. </t>
  </si>
  <si>
    <t>Tier 1**</t>
  </si>
  <si>
    <t>Municipal Billing Cycle*</t>
  </si>
  <si>
    <t>3/11/21: I emailed Steve Morus and he confirmed that the rates remained $4.75/1,000 for 2021. Alcosan rates are in addition to that.
3/31/2020: Steve Morus confirmed that the rates stayed at $4.75/1,000 for 2020 via an email.
Per survey from Steve Morus (Feb. 2019), the municipal sewer rates of $4.75/1,000 gal did not increase.  The overall total bill only increased by ALCOSAN's increase of $7.85</t>
  </si>
  <si>
    <t>Monroeville</t>
  </si>
  <si>
    <t>3/11/21: New rates were published on Monroeville Authority website effective Jan. 1, 2021. https://www.monroevillewater.org/sewer-rates. $13.64/1,000 gallons which includes ALCOSAN's usage fee of $9.10. There is also a slight increase in alcosan's service fee (from $17.86 to $19.11) which is passed on to residents. Overall, the municipal porition of the bill went up from $51 to $54.48. 
3/31/2020: 2020 rate data was obtained from the Monroeville Authority website: https://www.monroevillewater.org/csa/2020-water-and-sewer-rates. Rates remain at $12.75/1,000 gal which incl. ALCOSAN's usage fee of $8.50 so they are absorbing ALCOSAN's increase.  The only increase for residents will be the slight increase ($1.17) in the ALCOSAN quarterly service fee.
2019 rate data was obtained from a news page on the Monroeville Authority website.  https://www.monroevillewater.org/csa/2019-water-and-sewer-rates  Rates remain at $12.75/1,000 gal which incl. ALCOSAN's usage fee of $7.94.</t>
  </si>
  <si>
    <t>3/11/2021: WPJWA still does the billing.  Checked their rate sheet online and it says the same rate as 2020 - Only ALCOSAN's rate increased. 
 3/24/20: WPJWA still does the billing.  Checked their rate sheet online and it says the same rate as 2019 - Only ALCOSAN's rate increased.
2019: WPJWA does the billing;  Called WPJWA to confirm the rates. (April 2019) $5.75/1,000 gallons.  No municipal rate increase.</t>
  </si>
  <si>
    <t xml:space="preserve">3/11/21: On the Oakmont website, it publishes monthly rates effective as of Jan 1, 2021.  http://www.oakmontwater.com/rates.html.  Rates are listed as $8.33/month service charge and $20.75/1,000. Both fee structures include ALCOSAN rates. The municipal increase really only incorporates enough to cover the ALCOSAN increase so the The municipal portion charged went from $145.61 to $145.68. 
3/2020: On the Oakmont website, it says they do billing for Penn Hills.. http://www.oakmontwater.com/rates.html.  Rates are listed as $8.33/month service charge and $20.04/1,000.  Following 2019 formula, these include the Alcosan rates.
2019: WPJWA does the billing.  Pulled info from WPJWA rate sheet online. Monthly service fee went from $10 in 2019 to $6.66 in 2020.  Per thousand rate increased from $19.37/1,000 to $20.04/1,000.  Both include ALCOSAN's fees. Flat fee was multiplied by 3 for a quarterly bill and we subtracted both Alcosan fees from the municipal portion of the bill. </t>
  </si>
  <si>
    <t xml:space="preserve">3/11/21: Penn Township Sewage Authority website published rates effective Jan. 1, 2021. https://www.ptsewage.org/rates---fees.html They remain the same as 2020 and include ALCOSAN fees so Penn Township is absorbing the increased ALCOSAN fees. $91.73 0-3000 gallons and $8.92 per additional 1000 gallons.
3/31/20: Emailed Stan Caroline and he asked Angela Zippi to reply that Penn Township's rates for 2020 increased slightly: $91.73 0-3000 gallons and $8.92 per additional 1000 gallons. Includes Alcosan's rates. The Township actually absorbed some of ALCOSAN's rate increase for their customers so the total customer bill only increase by about $4.50 for 12,000 gallon average bill.
Survey from Stan Caroline $90.01/3KG; $8.75/KG over 3KG. Quarterly. Phone call clarified that it Includes ALCOSAN fees. They said their rate increased by 1.74% </t>
  </si>
  <si>
    <t xml:space="preserve">3/11/21: WPJWA still does the billing.  Checked their rate sheet online and it says the same rate as 2020.  Only ALCOSAN's rate increased. 
3/24/20: WPJWA still does the billing.  Checked their rate sheet online and it says the same rate as 2019.  Only ALCOSAN's rate increased. 
2019: WPJWA does the billing;  Called WPJWA to confirm the rates. (April 2019) $4.50/1,000 gallons and .83334/mo service charge. </t>
  </si>
  <si>
    <t>3/11/21: Checked PWSA website https://www.pgh2o.com/residential-commercial-customers/rates  Rates are effective from Jan. 14, 2021.  $8.51/1,000 minimum for monthly bill.  $7.64/1,000 after that.  This represents a slight increase from 2020. 
3/31/2020: We checked the PWSA website and the current rates were listed as effective March 1, 2019 so we included them for 2020 until we can check with PWSA to see if there is an increase planned for 2020. 4/20: sent an email to Julie Quigley to check. She confirmed that their website has the most current rates. Bill monthly. Minimum charge is $8.28/1,000 gallons.  Rate is $7.43/1,000 thereafter.
2019: Survey completed by Julie Quigley.  Base rate is $8.28 for the first 1,000 gallons and $7.43/1,000 thereafter.  According to PWSA, rates increased 7.2% from 2018).) ALCOSAN rates are separate from PWSA rates. The first rate of $8.28 for the first thousand was multiplied by three for the quarterly bill as PWSA bills monthly.</t>
  </si>
  <si>
    <t>3/11/2021: Found updated rates on Plum's website. Effective Dec. 2020. Rates are $34 min charge monthly for 1,870 gallons and $5.61/1,000 after that.  Includes alcosan fees so we subtracted the alcosan fees to determine municipal piece.  
4/2/20: Howard confirmed via email that Plum Boro's rates have stayed the same. Alcosan's fees are included so we subtracted them from the total in the municipal section of the fees. 
Survey from Howard Theis (Feb. 2019) Rates increased in June 2019 so the increase is not reflected in our 2018 survey.  $32.20 for 250 cu ft (minimum) equivalent to 1,870 gallons. 4.20 per 100 cu. Ft  after that, which translates into 5.61/1,000 gallons rate. Bill monthly so the base rate was used three times in the calculation. Plum's fees include ALCOSAN  charges so we subracted the total quarterly ALCOSAN fees of $119.91 from the final total quarterly bill.</t>
  </si>
  <si>
    <t xml:space="preserve">***Plum Borough rates are based on cubic feet. These values were converted to gallons for this comparison. </t>
  </si>
  <si>
    <t>3/11/21: 3/24/20: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Diane Turley (March 2019).  They only charge $3.50/1,000 gallons plus ALCOSAN fees.  The municipal portion of the bill did not increase; only the ALCOSAN portion.</t>
  </si>
  <si>
    <t>Plum***</t>
  </si>
  <si>
    <t xml:space="preserve">3/11/21:  2021 rates posted on Trafford website remain the same as 2020. ALCOSAN fees are separate and increased slightly. https://www.traffordborough.com/sewage-dept/
3/2020:  2020 rates posted on Trafford website remain the same as 2019. ALCOSAN fees are separate.
Obtained 2019 rate information from Trafford website http://www.traffordborough.com/sewage-dept  Rates remained the same as 2018. $18 quarterly service charge and $6.00/1,00 gallons with a minimum charge of $36 for 6,000 gallons. </t>
  </si>
  <si>
    <t>3/11/21: WPJWA still does the billing.  Checked their rate sheet online and it says the same rate as 2020.  Only ALCOSAN's rate increased. 
3/24/20: WPJWA still does the billing.  Checked their rate sheet online and it says the same rate as 2019.  Only ALCOSAN's rate increased. 
Survey completed by Julie Pantalone (March 2019) but she only included the ALCOSAN fees. WPJWA does the billing;  Called WPJWA to confirm the rates.  They remain $2.50/1,000 gallons; the same as 2018.</t>
  </si>
  <si>
    <t>3/11/2021: 2021 rates were obtained from the website below.  Rates increased to $12.37/1,000 gallons and $24.79 service charge As previously confirmed in 2019, these rates include alcosan fees. The increase only represents Alcosan's increase so the municipal portion remained the same.
3/2020: 2020 rates were obtained from the website below.  Rates increased to $11.77/1,000 gallons and $23.54 service charge.  As previously confirmed in 2019, these rates include alcosan fees.
2019 rate data was obtained from the website of the Oakmont Water Authority, who does Verona's sewage billing website. http://www.oakmontwater.com/rates.html 
Rates are $11/1,000 gal and quarterly service charge of $22.  A phone call (April 2019) with Jerry Kenna confirmed that ALCOSAN rates are included in those fees.</t>
  </si>
  <si>
    <t>3/11/21: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Rebecca Vargo, but it only included ALCOSAN charges.  Called WPJWA who does their billing and confirmed that the rate is the same as 2018. $5 for the first 1,000 gallons and $2.50/1,000 after that plus ALCOSAN</t>
  </si>
  <si>
    <t>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$1.75/1,000 gallons.  The municipal rate increased a quarter from 1.50/1,000 in 2018.</t>
  </si>
  <si>
    <t>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$3.00/1,000 gallons.  The municipal rate stayed the same as 2018.</t>
  </si>
  <si>
    <t xml:space="preserve">3/11/21: WPJWA still does the billing.  Checked their rate sheet online and it says the same rate as 2020 - 50% of ALCOSAN's bill.  ALCOSAN's rate increased so East Pittsburgh's municipal portion increased as well. Also emailed Seth Abrams epabrams@eastpittsburghboro.com and he confirmed their rate remains the same for 2021.
3/24/20: WPJWA still does the billing.  Checked their rate sheet online and it says the same rate as 2019 - 50% of ALCOSAN's bill.  ALCOSAN's rate increased so East Pittsburgh's municipal portion increased as well. 
2019: Billed by WPJWA.  Called WPJWA to confirm the rates. (April 2019) East Pittsburgh local rates are 50% of ALCOSAN charges. </t>
  </si>
  <si>
    <t>North Versailles^</t>
  </si>
  <si>
    <t xml:space="preserve">3/11/21: I emailed Sami Alvarez (sami@nvtsa.com) She confirmed the rates remain the same for 2021. Since the rate structure includes Alcosan fees, NV is absorbing the increase from alcosan.
3/31/20:  Sent an email to Frank Pearsol of NV Sanitary Authority. frank@nvtsa.com. 5/18  Resent the email. 5/2020: Sami Alvarez (sami@nvtsa.com) responded by attaching the authority's ordinance with current 2020 rates: $91.80 base charge quarterly for min. 6,000 gallons. $15.30/1,000 gallons for anything over 6,000 gallons. Both include alcosan fees. 
2019: Survey completed by Frank Pearsol of NV Sanitary Authority, but there was some inconsistent information so a phone call (April 2019) confirmed the rates. They have a base minimum charge for 6,000 gallons, using $12.30/1,000 so the minimum quarterly bill is $73.80 for usage of 6,000 gallons or less.  Anything over the 6,000 is charged at $12.30/1,000.  All of these fees include ALCOSAN's rates.  They also have a $4.50 flat service fee quarterly.  These rates are the same as 2018. 
</t>
  </si>
  <si>
    <r>
      <t xml:space="preserve">3/11/21:  Emailed Mike Branthoover for an update. mbranthoover@nhtma.org.  MIke confirmed that the rate remains the same (and HAS remained the same for the last 8 years).  We removed alcosan's total fees ($128.31) to determine the municpal portion of the fee. 
3/31/2020: Emailed Mike Branthoover. Rates remained the same for 2020.  $156.90 regardless of usage.  We removed alcosan's total fees ($119.86) to determine the municipal portion of the bill.  
Survey completed by Mike Branthoover. No overall increase from 2018 rates.  The total charge is $156.90 flat rate </t>
    </r>
    <r>
      <rPr>
        <b/>
        <sz val="9"/>
        <rFont val="Calibri"/>
        <family val="2"/>
        <scheme val="minor"/>
      </rPr>
      <t>regardless of usage</t>
    </r>
    <r>
      <rPr>
        <sz val="9"/>
        <rFont val="Calibri"/>
        <family val="2"/>
        <scheme val="minor"/>
      </rPr>
      <t xml:space="preserve"> so the community is absorbing ALCOSAN's increase.   We just Removed ALCOSAN's charges from the total to determine the flat municipal rate.</t>
    </r>
  </si>
  <si>
    <t>March 12, 21: Checked the Baldwin website, but the 2020 rates are still listed.  Emailed Bob Firek, manager. rfirek@baldwinborough.org. Bob confirmed that the rates remain the same for 2021 so they are absorbing alcosan's increase. 
 April 2020: Baldwin borough website (https://www.baldwinborough.org/259/Sewage ) sewage rates lists 2020 rates as $12.52 per 1,000 gallons with a monthly sewage surcharge of $14.75.  Using the same formula as 2019, we first removed alcosan fees before calculating the quarterly municipal fees.  These rates were also reported in a Tribune Review article https://triblive.com/local/south-hills/no-increase-in-real-estate-taxes-while-sewage-rates-soar-in-baldwin-borough/
Survey completed by Caitlin Hornyak. (March 2019): Email clarified that ALCOSAN rates were included in the $11.52/1,000 rate and 6.75 flat charge.  Overall rates did not increase so Baldwin absorbed ALCOSAN's increase.</t>
  </si>
  <si>
    <t>Bridgeville</t>
  </si>
  <si>
    <t xml:space="preserve">3/15/2021: Checked Bridgeville website and they approved an ordinance on 12/14/20 with sewage rates. https://ecode360.com/BR2287/laws/LF1265067.pdf   Monthly billing: $6.73/1,000 for the municipal portion in addition to alcosan's increased rates. Unlike last year's ordinance, this year's broke out the municipal rate.  They indicated that $6.73/1,000 as a rate that remains unchanged, but according to their structure last year, the municipal rate was $6.23/1,000. 
04/2020:  Bridgeville website lists rates as the following: https://ecode360.com/14258731  Monthly billing:  $14.73/1,000 gallons usage fee plus ALCOSAN service charge of $5.95.  The $5.95 monthly service charge translates to $17.86, so these represent Bridgeville's 2020 rates.  ALCOSAN usage charge is rolled into the $14.73/1,000 gallons. When you remove the alcosan usage charge, the municipal rate is $6.23/1,000 so it remains unchanged from 2019. 
2019: As per survey from Lori Collins(Feb 2019).  Municipal rate of 6.23/1,000 gal did not increase. Overall rates only increased by ALCOSAN's new charges. </t>
  </si>
  <si>
    <t>3/15/21: Called the borough.  Tom Hartswick is no longer there.  Left a voicemail for Loretta Miller, asst. mgr. 412-885-9200, ext 102.  She called back to report their rates increased to $8.08/1,000 + alcosan fees. 
6/3: Called Tom 412-885-9200, ext 103.  He confirmed that their rates increased to $7.55/1,000 gallons and alcosan rates are in addition to that. 
5/2020: Emailed Tom again.
04/2020: Couldn't find info on the borough websiste, so emailed Tom Hartswick for an update. t.hartswick@comcast.net
Survey completed by Tom Hartswick (March 2019).  He indicated their rates increased by 7% to match ALCOSAN's increase, but the 2018 sewer rates reported by Tom were $6.60/1,000 gal.  2019 rate of $7.28/1,000 gal represents a 10% increase.  Perhaps the 2018 rates increased mid-year after we published the sewer rate study.</t>
  </si>
  <si>
    <t xml:space="preserve">3/15/2021: Emailed Stacey Graf for an update. Sgraf@bethelpark.net .  Stacey replied and their rates remain $15/month and $9/1,000 which includes alcosan fees. Thus, they are absorbing alcosan's increase.
4/2020: Emailed Stacey Graf for an update. SGraf@bethelpark.net.  Stacey replied that the rates have stayed the same for 2020. $15 monthly service charge and $9/1,000 includes all ALCOSAN charges.  Bethel Park is absorbing Alcosan's increase.
Survey completed by Stacey Graf.  $15 monthly service charge and $9/1,000 includes all ALCOSAN charges. Stacey provided details in the notes that confirms this.  Bethel Park absorbed ALCOSAN's increase so there is no overall increase in the total sewer rates from 2018. </t>
  </si>
  <si>
    <t>3/15/21: Emailed Amy Medway (and copied George Z) on 2021 rates. Amy shared their rate structure which only increased to accommodate the increase in alcosan rates.  The municipal part of the fee stays the same ($4.57 and $8.91/1,000).  Overall, the rates are $10.94/monthly and $18.01/1,000 which includes the alcosan fees. 
4/2020: I emailed George Zboyovsky, Borough Manager, to check on the 2020 rates and the fee schedule on their website only included 2019. gzboyovsky@brentwoodboro.com   Amy Medway responded that the municipal rates have stayed the same as 2019. amedway@brentwoodboro.com They charge a total of $10.52 and $17.41/1,000 which includes alcosan rates.  When alcosan fees are removed, the muncipal portion is the same as 2019: $4.57 service fee monthly and $8.91/1,000 gallons.
2019: Survey completed by George Zboyovsky (March 2019).  April 10: talked with Karen in the sewage department to clarify some of the survey responses.  Brentwood only increased their bills by the amount of ALCOSAN's increase so the municipal rate stayed the same. Monthly service charge of $10.13 plus $16.85/1,000 gallons includes all ALCOSAN charges</t>
  </si>
  <si>
    <t>3/15/2021: Emailed Doug Sample interim manager@craftonborough.com. Doug responded. Rates remain $2.25 monthly service fee and $8.40/1,000 gal. Only ALCOSAN's rates have increased.
4/2020: Emailed the new borough manager, Russell McKibben manager@craftonborough.com  to get an update. 
Russell responded that Crafton's rates have stayed the same. $2.25 monthly service fee and $8.40/1,000 gal. Only ALCOSAN's rates have increased. 
2019:  Survey completed by RJ Susko (Feb. 2019).  Crafton rates have remained the same as 2018.  Bill monthly. $2.25 monthly service fee and $8.40/1,000 gal.  This rate does not include ALCOSAN's rates so the overall sewer rate has only increased by ALCOSAN's rate increase.</t>
  </si>
  <si>
    <t>3/16/21: Found an updated ordinance online: https://ecode360.com/HE0717/laws/LF1265633.pdf.  Confirms that the municipal rate remained at $5.48 monthly service charge and $8.62/1,000.  ONly alcosan's rates increased. 
04/2020: Sent an email to Janice Adamski, Borough Manager, for an update. manager@heidelbergborough.org   She responded with the ordinance that they passed with alcosan's increased rates listed and also Heidelberg's of $5.48 monthly service charge and $8.62/1,000 gallons.  The service charge is a few cents less than we had for 2019. Service charges do not usually decrease, but since this is such a nominal difference, we left it as is for 2019. 
2019: Survey completed by Janice Adamski (Feb. 2019). $5.56 flat fee  and $8.62/1,000. No change in Heidelberg's rates from 2018.  ALCOSAN rates are NOT included in these rates.  (Confirmed in a phone call with Janice on 3/13/19).  The only increase in the overall rate is ALCOSAN's rates. (Jordan tax service does their billing.)</t>
  </si>
  <si>
    <t xml:space="preserve">3/16/21: Found their fees online: https://www.mtlebanon.org/DocumentCenter/View/17827/2021-Approved-Fee-Schedule?bidId= They remain $4.05/1,000 for 2021.
04/2020: Sent an email to Teresa Windstein, Assistant Finance Director, for an update. twindstein@mtlebanon.org.  She confirmed that Mt. Lebanon's rates stayed at $4.05/1,000. Alcosan rates are in addition to that.
2019: Survey completed by Teresa Windstein (Feb. 2019).  Mt. Lebanon rate $4.05/1,000 and no flat service feel.  The total overall sewer fee only increased by the ALCOSAN increase ($7.85) </t>
  </si>
  <si>
    <t>3/16/21: Found their updated rates online.  https://mtoliver.com/home/for-residents/quick-reference-guide-to-mt-oliver/  They remain $7.12/1,000 gallons.  Only alcosan rates have increased.
04/2020: Sent an email to Rick Hopkinson, Borough Manager, for an update. 
rick.hopkinson@mtoliver.com.  Rick confirmed that Mt. Oliver's rates have stayed at $7.12/1,000 plus ALCOSAN charges.
2019: Survey completed by Rick Hopkinson. (March 2019).  No rate change from 2018.  Remains $7.12/thousand plus all ALCOSAN charges.</t>
  </si>
  <si>
    <t>3.16/2021: Sent an email to Judy Miller (asst mgr) jmiller@greentreeboro.com to see if the rates remain $5/1,000 plus alcosan fees. Babette Legler, Finance Director blegler@greentreeboro.com replied that rates remain $5.00/1,000 gallons plus alcosan.
04/2020: Sent an email to Dave Montz to get an update for 2020. dmontz@greentreeboro.com   He responded that their rates have stayed the same. Municipal rate of $5.00/1,000 did not increase.  Alcosan charges are separate and on top of this rate.
2019: As per survey from Dave Montz (Feb 2019)  Overall rates only increased by ALCOSAN's increase. Municipal rate of $5.00/1,000 did not increase. Phone call with Dave clarified this.</t>
  </si>
  <si>
    <t xml:space="preserve">03/16/21: Emailed Vickie Pelkey. came back with an error so I emailed manager @homesteadborough.com instead. Vanessa McCarthy-Johnson.  She indicated the rates on their website under fee schedule. http://www.homesteadborough.com/government/administration/downloads/forms-permits-applications/fee-schedule.pdf  Their monthly service fee remains at $9.67 and their usage fee increased to $12.44/1,000.  Includes alcosan fees.
04/2020: Sent an email to Lauren Zang, Borough Manager, for an update. manager@homesteadborough.com.  REsent email on 5/18.  Vickie Pelkey, Administrative assistant, vpelkey@homesteadborough.com responded with their updated rates: The monthly service fee is $9.67 and 11.63/1,000.  Both include alcosan fees. 
2019: Phone call with Lauren Zang, Borough Manager (April 2019) confirmed that Homestead rates remained the same even though ALCOSAN charges increased.  Homestead just absorbs the increase. $9.27 monthly service charge and $10.87/1,000 gallons both of which include ALCOSAN fees. </t>
  </si>
  <si>
    <t>3/18/21: Emailed Vicki Kaine.  She replied that Oakdale's rates remain the same. at $34.20 monthly for the first 1,000 gallons and $15.90/1,000 thereafter.  Includes alcosan fees.
 6/3: Called the borough and talked to Vicki Kaine, Borough Office Manager (kaine@oakdaleborough.com 724-693-9740).  She confirmed that the rates increased to $34.20 monthly for the first 1,000 gallons and $15.90/1,000 after that.  This rate structure includes Alcosan fees.5/18: Resent email.  No response. 04/2020: Emailed Laura Ahlborn, Borough Office Secretary, for an update. ahlborn@oakdaleborough.com   
2019: Rate information confirmed with Laura by phone (4/15/19);  Oakdale rates including all ALCOSAN charges increased from $26.35 monthly fee for the first 1,000 gallons to $28.20, and the $12.90 per thousand increased to $13.90.  Overall, the municipal rate increased by 7.5%. Becuse Oakdale bills monthly, we multiplied the monthly minimum usage fee for 1,000 gallons three times for the quarterly bill before adding the per thousand gallon fee ($5.96) for the remaining 10,000 gallons.</t>
  </si>
  <si>
    <t>Oakdale^</t>
  </si>
  <si>
    <t>3/18/2021: Didn't find an update on MSSMA website so I Emailed Jackie Coles. Jackie confirmed that Munhall's rates stayed the same as 2020. $17 monthly service charge and $12.50/1,000 gallons usage.  Rate structure includes Alcosan's fees.
4/2020: Emailed Jackie Coles, manager of the Munhall Sanitary Sewer Municipal Authority, for an update. jcoles@mssma.us  Resent email on 5/18. June 2: Called Munhall Authority and their voicemail says to contact Legal Tax Service regarding sewer bills.  412-464-9555.  They confirmed Munhall's rates increased to $17 monthly service charge and $12.50/1,000 gallons usage.  Rate structure includes Alcosan's fees.
2019: Survey from Jackie Coles, $16.00/Mo. Scvs charge &amp; $11.50/KG.  Phone call clarified that it includes ALCOSAN fees.  No overall increase so Munhall absorbed ALCOSAN's increase.</t>
  </si>
  <si>
    <t>3/20/21: Website still has the same rates published as 2020 so I emailed Enoch Jenkins ejenkins@ptsaonline.org and Sewage Billing Specialist
Donna L. LaManna dlamanna@ptsaonline.org to confirm if the rates are the same. Enoch replied that rates have remained the same at $42 quarterly and $8.10/1,000 gallons.
04/2020: Peters Township Sanitary Authority published 2020 rates. http://www.ptsaonline.org/PTSA_fees.htm $42 quarter flat fee and $8.10/1,000 for usage. These include ALCOSAN fees.
2019: Survey completed by Enoch Jenkins General Manager, Peters Township Sanitary Authority. ejenkins@ptsaonline.org(March 2019).  $36.00 service charge and $7.15/1,000 gallons.  These include ALCOSAN rates.  Peters has only a few ALCOSAN customers so they absorb the cost of the additional ALCOSAN rates for those customers.</t>
  </si>
  <si>
    <t>Peters Township^</t>
  </si>
  <si>
    <t xml:space="preserve">03/22/21: Found updated rates on South Fayette's website: https://matsf.net/  "For 2021, the basic monthly service charge will continue to be $12.00.  Commencing with your next (February) bill, the consumption charge
will increase from $12.15/thousand gallons to $12.85/thousand gallons. This is directly a result of ALCOSAN’s 2021 rate increase as discussed in detail in the MATSF 2021 budget."  While this rate looks different than last year, that is only because the rate was broken out last year from alcosan and this year SF is publishing the rates with alcosan rate structure included.  Rates remain the same for residents in the end. 
04/2020: Emailed Jerry Brown, Managing Director of the South Fayette Municipal Authority for an update.  Jerry responded.  Their monthly service fee decreased again this year from  $6.44 to $6.05 and their per thousand gallon charge increased from $3.56/1,000 to $3.65/1,000. 
2019: Per Jerry Brown survey response. reduced monthly service fee from $6.80 to $6.44 (decrease of 5.3%) and increased rate per 1,000/gal from $3.34 to $3.56 (increase of 3.8%).   </t>
  </si>
  <si>
    <t>South Fayette^</t>
  </si>
  <si>
    <t>N/A</t>
  </si>
  <si>
    <t>03/22/21: Found updated rates on the USC website.  https://www.twpusc.org/departments/finance/sewer.php  This year, they are using a multiplier of 1.93 on the alcosan rates resulting in a monthly fee of $12.29 fee and $17.56/1,000 gallons for usage.  The published rates include alcosan's fees so we have incorporated them into the chart using those same numbers. 
04/2020: Emailed Mark Romito, Director of Finance for an update. romito@twpusc.org.  Mark responded and said that USC once again used the 2X ALCOSAN rate formula so their rates increased the same as ALCOSAN's. $5.95/monthly service fee and $8.50/1,000 gallons.
Survey completed by Mark Romito, Director of Finance (March 2019) Multiplier set at 2.00 times ALCOSAN rates….monthly service charge $5.56 &amp; $7.94/1,000 gallons.  Overall the muncipal portion of the bill increased by 1.9% according to Mark.</t>
  </si>
  <si>
    <t xml:space="preserve">03/22/21: Emailed Marinda Henze to see if the rate changed.  The rate page on their website still shows the 2020 rates. http://wmssma.org/rates.htm.  She confirmed that the rates have remained the same. $19/monthly service charge and the per 1,000 gallon rate stayed at $8.58
04/2020: I checkd the WMSSMA website and it looks like their rates have increased to a $19/monthly service charge and the per 1,000 gallon rate stayed at $8.58.  The structure includes alcosan fees. Emailed Marinda Henze, West Mifflin Sanitary Sewer Municipal Authority to confirm. mindylulu@wmssma.org  Marinda confirmed that the rates above are current for 2020. 
2019: Survey from Marinda Henze, West Mifflin Sanitary Sewer Municipal Authority. $17/mo. scvs. Charge and 8.58/1,000 gal.  Includes ALCOSAN fee.  No overall rate increase this year so West Mifflin absorbed ALCOSAN's increase. </t>
  </si>
  <si>
    <t>West Mifflin^</t>
  </si>
  <si>
    <t>03/22/21: Emailed Jean Warren. She confirmed the rates have stayed the same.$11.89/4,500 gallons min. usage monthly and $2.50/1,000 after that.  Alcosan rate are charged separately.
04/2020: Emailed Jean Warren, Secretary for an update. whitaker@rdm-inc.com  Jean replied that there has been no change to Whitaker's rates. They remain at municipal flat rate of $11.89/4,500 gallons min. usage monthly and $2.50/1,000 after that. 
2019: Per survey from Jean Warren, Secretary, municipal flat rate of $11.89/4,500 gallons min. usage monthly and $2.50/1,000 after that remains the same as 2018. These rates do not include ALCOSAN's rates.  Overall rates only increased by ALCOSAN's increase (A total of $7.85).  Whitaker bills monthly so the flat fee of $11.89 would apply three times before the per thousand gallon rate kicked in.  Since we are calculating for 13,000 gallons/qtr.  and the monthly minimum usage charge covers 4,500 gallons, there was no need to use the $2.50/1,000 rate.</t>
  </si>
  <si>
    <r>
      <t xml:space="preserve">03/22/21: Emailed Nick Martini. nmartinistowetownship@gmail.com He confirmed STowe's rate remains the same for 2021. $4.50/1,000 remains the same for 2020.  Only ALCOSAN fees have increased.
04/2020: Emailed Nick Martini, Township Manager for an update. nmartinistowetownship@gmail.com.  Nick Martini responded that STowe's fee of $4.50/1,000 remains the same for 2020.  Only ALCOSAN fees have increased.
2019: Talked with Debbie in the Admin office (4/11/19).  Nicholas Martini is the new manager.  Hasn't responded to the survey. </t>
    </r>
    <r>
      <rPr>
        <b/>
        <sz val="9"/>
        <rFont val="Calibri"/>
        <family val="2"/>
        <scheme val="minor"/>
      </rPr>
      <t xml:space="preserve"> </t>
    </r>
    <r>
      <rPr>
        <sz val="9"/>
        <rFont val="Calibri"/>
        <family val="2"/>
        <scheme val="minor"/>
      </rPr>
      <t xml:space="preserve">Debbie requested an email to her with the rate request and she will try to obtain the info. Sent an email request to Debbie on 4/11.(Followed up with a phone call on 4/16/19: Debbie has been unable to find the 2019 sewage rate information.  Nicholas doesn't know either. She checked her own personal bill from the last quarter of 2018 and it breaks out ALCOSAN costs and $4.50/1,000 for the municipal portion.  We are going to keep these rates for 2019 until we can confirm that they may be different.  </t>
    </r>
  </si>
  <si>
    <t>03/22/21: Emailed Denise. She confirmed that the rates have remained the same $3.00/1,000 gallons.  Alcosan fees are separate.
04/2020: Emailed Denise Fitzgerald, Township Manager for an update. dfitzgerald@scotttownship.com. Denise replied.  Scott Township's rates stayed the same in 2020. $3.00/1,000 gal in 2019. ALCOSAN rates are separate.
Survey completed by Denise Fitzgerald (March 2019).  Municipal rate increased 50% from $1.50/1,000 gal to $3.00/1,000 gal in 2019. ALCOSAN rates are separate.</t>
  </si>
  <si>
    <t xml:space="preserve">3/26/21: Emailed Dawn Eastley Dawn@boroughofaspinwall.com.  Dawn confirmed that the rates stayed the same. $2.50/1,000 gallons.  Alcosan separate.  All billed quarterly as part of the residents' water bills.
​ 
4/2020:  Emailed Dawn for an update and she verfied that Aspinwall's 2020 rates remain the same as 2019. 
2019: Spoke by phone with Dawn Eastley, Assistant borough manager, (April 2019).  Aspinwall's rates increased in mid-2018 after our rate study was published last year. 44% increase from $1.73/1,000 to $2.50/1,000 gallons.  ALCOSAN bills Aspinall customers directly through a separate bill. Aspinwall bills for sewage via their water bill.  Overall rate is $9.98/1,000 with $2.50 going toward sewage.
</t>
  </si>
  <si>
    <t xml:space="preserve">3/29/21: Emailed Cindy Bahn, Director of Administrative Services manager@bellevueboro.com.  Rates remain the same.  $2/quarter service fee and $2.50/1,000.  Alcosan rates are separate.
4/2020: Emailed Paul Cusick, Interim Director of Administrative Services (listed on Bellevue Borough's website)cusick@bellevueboro.com  5/18: Resent the email. 5/26: Cindy Bahn is the new manager and she replied to the email saying that Bellevue's rates have remained the same: $2/quarterly service fee and $2.50/1,000 gallons usage. 
2019: Phone call with Rob Borczyk (April 2019) confirmed there is no increase in municipal sewer rates from 2018.  They remain $2.00 quarterly service charge and $2.50/1,000 gallon usage. </t>
  </si>
  <si>
    <t>Bimonthly</t>
  </si>
  <si>
    <t xml:space="preserve">3/29/21: Found the Shaler rates published on their website.  They remain the same as 2020. $6.32/bimonthly service fee and $2/1,000 gallons.  Alcosan increase was also published on their site. https://www.shaler.org/212/Sanitary-Sewer-Rates
4/2020:  Shaler website published 2020 rates.  Remained the same at $6.32 flat service fee bimonthly and $2.00/1,000 gallon usage. ALCOSAN fees are separate.  To represent the quarterly bill, we took the flat service fee, divided by 2 and multiplied by 3. 
2019: Survey completed by Judith Kording (March 2019). $6.32 flat service charge every two months. No rate increase other than ALCOSAN. </t>
  </si>
  <si>
    <t xml:space="preserve">3/29/2021: Shaler published rates for Girty's Run.  They remain the same as 2020.  No flat fee.  They charge $3.50/1,000 for a minimum usage bill of 3,000 gallons bimonthly. https://www.shaler.org/212/Sanitary-Sewer-Rates are $3.50/1,000 for everything over 3,000 gallons.
4/2020: Shaler Township's website published the 2020 rates.  Girty's Run rates have increased slightly.  They are charged $3.50/1,000 with a minimum of 3,000 gallons bimonthly. ($10.50 vs $8.50 in 2019) We mulitiplied this fee by 3 for the gallons, divided it by 2 and mulitiplied by 3 to represent a quarterly bill. Anything over the 3,000 gallons is charged at $3.50/1,000 gallons vs $2.50/1,000 in 2019.  Alcosan fees are separate. 
2019: Survey completed by Judith Kording (March 2019). $8.50 flat service charge every two months for a minimum usage of 3,000 gallons. No rate increase other than ALCOSAN. Base minimum rate was multiplied by 1.5 to represent the third month in the quarter. </t>
  </si>
  <si>
    <t>Indiana - Fairview</t>
  </si>
  <si>
    <t>Indiana - Middle Rd. I &amp; II</t>
  </si>
  <si>
    <t>Indiana - Ottawa</t>
  </si>
  <si>
    <t xml:space="preserve">3/29/21: Emailed Candy. cwygonik@indianatownship.com She replied that rates have gone up to $2.75/1,000 gallons.  Fairview Service charge is $50/quarterly and Ottawa is $90. 
4/2020:  Emailed Candy.  She confirmed that the rates have stayed the same for 2020.  She also reiterated that about 30 customers in District I in 2019 began incurring a monthly service fee of $15 for a new pump station.  Didn't represent the whole district so it is not included. 
2019: Survey completed by Candy Wygonik.  Indiana has several billing districts with different service charges and billing cycles, but they all charge $2.25/1,000.  Municipal rates increased by 2.86% plus ALCOSAN's rate increase. All info was clarified with a phone call (April 2019).  Last year we had a Middle Rd Ext. district and Middle Rd I &amp; II district but the rates are the same for all of Middle Road so we combined the districts.  There is one exception.  About 30 customers in District I now incur a monthly service fee of $15 for a new pump station.  Didn't represent the whole district so it is not included. </t>
  </si>
  <si>
    <t>3/29/21: Emailed Candy. cwygonik@indianatownship.com She replied that rates have gone up to $2.75/1,000 gallons.  Fairview Service charge is $50/quarterly and Ottawa is $90. 
4/2020::  Emailed Candy.  She confirmed that the rates have stayed the same for 2020.  
Survey completed by Candy Wygonik.  Indiana has several billing districts with different service charges and billing cycles, but they all charge $2.25/1,000.  Municipal rates increased by 2.86% plus ALCOSAN's rate increase. All info was clarified with a phone call (April 2019).  Fairview's service charge is $50/quarterly.</t>
  </si>
  <si>
    <t>3/29/21: Emailed Candy. cwygonik@indianatownship.com She replied that rates have gone up to $2.75/1,000 gallons.  Fairview Service charge is $50/quarterly and Ottawa is $90, although FC authority shows the quarterly charge for Ottawa as $85 and they do the billing so that is the number included on the chart. 
4/2020:  Emailed Candy.  She confirmed that the rates have stayed the same for 2020.  
2019: Survey completed by Candy Wygonik in Finance.  Indiana has several billing districts with different service charges and billing cycles, but they all charge $2.25/1,000.  Municipal rates increased by 2.86% plus ALCOSAN's rate increase. All info was clarified with a phone call (April 2019).  Ottawa's service charge is $75 quarterly.</t>
  </si>
  <si>
    <t xml:space="preserve">Neville </t>
  </si>
  <si>
    <t>Emsworth</t>
  </si>
  <si>
    <t>3/22/21: Emailed Dorothy Falk.  She replied that Thornburg still does not charge a municipal fee to its customers.  
4/2020: Emailed Dorothy Falk, Secretary/Treasurer, for an update. thornburg.secretary@gmail.com.  Dorothy repled and confirmed that Thornburg does not charge any municipal fee continuing into 2020.  Alcosan bills customers directly.
2019: Survey completed by Dorothy Falk (March 2019).  ALCOSAN bills customers directly.  Thornburg does not charge an additional municipal fee.</t>
  </si>
  <si>
    <t>3/29/21: Emailed Cathy Jones at Emsworth. emsworthborough@comcast.net.  She replied "At the December 2020 council meeting the following was approved - $5.60/1000 gallons + $2 quarterly service charge.  This would go into effect with the bills that are sent out in April, for period 11/13/2020-2/13/2021."  alcosan fees are now listed separately on their bills. 
4/14/2020: Sent email to Kathy Taschner via Emsworth website. 5/18: Resent email to Cathy Jones, Borough Secretary, directly from Outlook rather than through their website. 05/2020: Kathy Taschner responded to my follow up email indicating that the Emsworth rates increased by alcosan's increase to $19.86 quarterly service fee and $13.85/1,000. The municipal rate stayed the same at $2 service fee and $5.35/1,000 gallons. 
Spoke with Kathy Taschner at Emsworth in the sewage office. (April 2019).  Bill quarterly. Their rates include ALCOSAN's. They did not increase the municipal rate from 2018.  Only ALCOSAN's rate went up. $18.69/service charge and $13.29/1,000 gallons</t>
  </si>
  <si>
    <t>4/14/21: Obtained the 2021 sewer rates from Fox Chapel Authority website. Rates remained the same. Only alcosan's rates increased. http://www.foxchapelwater.com/rates-and-fees/
4/2020: Obtained the 2020 sewer rates from Fox Chapel Authority website. Rates remained the same. Only alcosan's rates increased. http://www.foxchapelwater.com/rates-and-fees/
2019 sewer rates obtained from Fox Chapel Water Authority website. http://www.foxchapelwater.com/rates-and-fees/ (April 2019)</t>
  </si>
  <si>
    <t>4/2021: Obtained sewer rates from the Fox Chapel Water Authority website.Says effective 1/1/19: $5.75 qtr charge and $2.35/1,00 gallons. Rates have stayed the same for 2021. http://www.foxchapelwater.com/rates-and-fees (Other updates have been made on this page for 2021 rates, i.e. alcosan and other communities) so the page info is up-to-date and that means O'Hara rates are up-to-date as well.
4/2020: Obtained sewer rates from the Fox Chapel Water Authority website.Says effective 1/1/19: $5.75 qtr charge and $2.35/1,00 gallons. Rates have stayed the same for 2020. http://www.foxchapelwater.com/rates-and-fees
2019 sewer rates obtained from Fox Chapel Water Authority website. http://www.foxchapelwater.com/rates-and-fees/ (April 2019)</t>
  </si>
  <si>
    <t>4/6/2021: Checked MTSA website https://www.mtsaonline.org/index.asp?SEC=D016B45B-53DF-4D44-ADB6-E9D7DC7B9DC9&amp;Type=B_BASIC  Rates still say updated 1/1/20 so the structure is still 21.25/quarter service fee and $7.55/1,000 gallons which includes alcosan fee.  Emailed to confirm that there have been no changes for 2021. Mike Pruszenski replied that the rates are current. MikePruszenski@mtsaonline.org
4/2020: Obtained rates (updated 1/1/20) on the MTSA website and used the structure from 2019. (ie. alcosan rates are included in the fee and absorbed by MTSA for those residents serviced by alcosan.)
As per Survey completed by Chad Alviani, the residential rate increased by 4% to $7.40/1,000 (includes $7.94 ALCOSAN rate) Service fee $21.25 quarterly also includes ALCOSAN's $16.69 fee.  MTSA absorbs the loss for those homes that go to ALCOSAN. The other homes are serviced by MTSA treatment plant.   A phone call 3/12/19 with Chad confirmed these details.</t>
  </si>
  <si>
    <t>Franklin Park^</t>
  </si>
  <si>
    <t>4/2021: MTSA still maintains FP's sewers and does their billing.  Followed the billing strucure from MTSA site.https://www.mtsaonline.org/index.asp?SEC=D016B45B-53DF-4D44-ADB6-E9D7DC7B9DC9&amp;Type=B_BASIC  Rates listed as  21.25/quarter service fee and $7.55/1,000 gallons which includes alcosan fee.
4/2020: Checked the Franklin Park website and it notes that MTSA does the billing  for Franklin Park. Rates are listed as current for 1/1/2020.  Following the same pattern as 2019 with the assumption that Franklin Park has the same rates as McCandless.
MTSA manages billing for Franklin Park. Chad Alviana confirmed by phone 3/12/19 that all of Franklin Park has the same rates as McCandless.  This represents a 35% Decrease from 2018 for the Bear Run area of Franklin Park and a 23% Decrease for the Lowries Run area of Franklin Park.</t>
  </si>
  <si>
    <t>4/13/21: Emailed Sue Brown for an update. info@etnaborough.org  Sue replied that there has been an increase for 2021.  Etna’s rates include a bimonthly flat fee  (Environmental Surcharge) of $20.40 (which does NOT include ALCOSAN’s flat fee) $13.71 for each 1,000 gallons of water usage.  This amount does include the ALCOSAN Charge. 
4/2020: I emailed Sue and she replied with the following rates.  Bimonthly surcharge of $19.07 (does not include alcosan) and per thousand gallon rate of $12.81, which does include alcosan so the municipal portion becomes $4.31/1,000. 
Survey completed by Sue Brown (Feb. 2019). Billing is every two months: $17.82 service charge; $4.07/1,000.  Etna's rates increased by 7% along with ALCOSAN's rate increase.  This rate structure does not include ALCOSAN fees.</t>
  </si>
  <si>
    <t xml:space="preserve">4/2021: Checked the website and the rates remain what they were on Jan. 1 2020:  "On January 1, 2020 all metered OTSA customers will be billed a quarterly sewer base charge of $60.76 and a volume charge of $10.05 / 1,000 gallons of water used as reported by West View Water. These rates remain unchanged from 2019." These fees include alcosan fees.
4/2020: Checked the Ohio Township Sanitary Authority website and found that the rates are unchanged for 2020.  The 2020 rate strucure was effective Jan.1, 2020.  https://www.ohiotwp.org  Flat quarterly service fee of $60.76 and$10.05/1,000 gal.  Since these fees include ALCOSAN rates and ALCOSAN fees increased in 2020, the municipality is absorbing the increase.
2019: Survey completed by Marsha Grom (Feb. 2019). Ohio Twp flat service fee of $60.76 stayed the same from 2018, but usage rate increased by 7% to $10.05/1,000 gal.  They bill quarterly. These fees includes ALCOSAN rates.  </t>
  </si>
  <si>
    <t>4/2021: Searched for Ross Township rates and found the updated rates for 2021 on their website: https://ecode360.com/31081791 Bill monthly.  $1.50/service charge and $4.50/1,000 gallons  Alcosan fees are separate. Only alcosan fees have increased.
4/2020: Emailed Ron Borczyk, Ross Manager for an update. Jessica Crawshaw responded by attaching their ordinance with the 2020 rates.  4.50 quarterly service charge and 4.50/1,000 usage. Alcosan charges are separate.
2019: Survey completed  Doug Sample (March 2019). Rates stayed the same.  Only the ALCOSAN increase.</t>
  </si>
  <si>
    <t xml:space="preserve">3/29/21: Emailed Ken Opipery. opipery@benavon.com 4/16/21: Emailed Ken again and he replied .They still do not charge a sewage fee.  If they need revenue, they do it through tax increase.
4/2020:  Emailed Ken Opipery, Finance Director, for an update. opipery@benavon.com  5/18:  Forwarded my email request to Terrie Patsch, Borugh Secretary. benavon@benavon.com 5/2020: Ken replied... "Ben Avon does not collect revenues via a surcharge on ALCOSAN rates.If a tax increase is required to cover expenses, it is done through the budget process where needs are fulfilled via real estate taxes.  We feel that is more transparent than a surcharge on another entity’s rates."
Spoke with Terrie Patsch (April 2019) ALCOSAN bills Ben Avon customers directly; Terrie suggested speaking with Ben Avon's Finance Director Ken Opipery who confirmed that  Ben Avon does not have any municipal sewage charge. </t>
  </si>
  <si>
    <t>Pleasant Hills</t>
  </si>
  <si>
    <t xml:space="preserve">4/16/21: Emailed Kelly again kelly.theiss@pleasanthillspa.com.. 3/22/21: Emailed Kelly. Kelly replied after the 4/16 email that Pleasant Hills rates did increase: Monthly service fee $13.34  and $8.40 per 1,000 gallons 
04/2020: Emailed Kelly Theiss, Borough Manager, for an update. kelly.theiss@pleasanthillspa.com.  Kelly confirmed that their rates have stayed the same.   Since they have only a few ALCOSAN customers, they choose to absorb ALCOSAN fees for those customers.  $13.34 monthly service fee and $7/1,000 gallons. ALCOSAN fees are included. 
2019: ALCOSAN provides minimal service (like 6 homes), they have their own treatment plant.  4/16/19 Spoke with Kelly Theiss, the borough manager. Rates stayed the same. ALCOSAN fees ARE included.  (Legal Tax Service who does the billing confirmed that ALCOSAN fees are not listed separately on the bill.) They bill mnthly $13.34 service fee and $7/1,000 gallons, but I put the service fee in the quarterly box to deduct ALCOSAN fees. </t>
  </si>
  <si>
    <t>4/16/2021:  Emailed Michele Garvey, Office Manager, West View Water Authority, for an update. mgarvey@westviewwater.org  Michele replied that their rates have stayed the same.  Only alcosan rates have changed. They bill monthly. 
4/2020: Emailed Michele Garvey, Office Manager, West View Water Authority, for an update. mgarvey@westviewwater.org  She replied that only ALCOSAN rates have changed.  West View's rates stayed the same at $3.99/1,000 gallons and $13.15/monthly service charge.
2019: Survey completed by Michele Garvey (April 2019).  Rates did not change from 2018.  Bill monthly.  $3.99/1,000 gallons and $13.15/monthly service charge.</t>
  </si>
  <si>
    <t>4/16/21: Emailed Kyle again. 3/15/2021: Do not see any new rates on CTMA website.  CTMA was dissolved in late April 2020 so I emailed Kyle Thauvette, mgr of Collier Township,  kthauvette@colliertwp.net to see if the rates remain the same for 2021. Kyle replied after 4/16 email saying the rates have increase slightly to $14.18/1,000 gallons of usage and 7.06 monthly service fee.
4/14/21: New rates were posted on CTMA website. $6.60/ monthly sewer charge and $13.25/1,000.  Both include alcosan fees. 
4/1/2020: The CTMA website (http://www.collierctma.com) lists these rates as effective from March 2018 so they remain the same for 2020. $12.65/1,000 gallons and $6.20 monthly service fee.  Includes ALCOSAN fees.   
2019: As per survey from Lori Thompson and Pattie Asturi (Feb 2019)  Overall rates did not increase. $12.65/kg, $6.20 monthly s.c.  Phone call with Lori Thompson clarified that it includes ALCOSAN fees. Collier absorbed ALCOSAN's increase.</t>
  </si>
  <si>
    <t>Collier</t>
  </si>
  <si>
    <t>4/16/21: Emailed Kathy thorugh the website again as they do not publish email addresses. 3/29/21: Emailed Kathy Ulanowicz through the Blawnox website. After the 4/16 email, Kathy forwarded the message to the asst mgr Mallori McDowell, mmcdowell@blawnox.net. She reported that the rates did increase some in 2021: still have a quarterly $45 sewer line surcharge. The first 1,000 gallons cost $30.41, which includes a $19.11 per customer fee from ALCOSAN and $11.30 for the processing. Then it is $11.30 for each additional 1,000 gallons, which includes the ALCOSAN charge (which I believe is $9.10/1,000 gallons). 
4/14/2020: Sent an email to Kathy U via the Blawnox website. Kathy responded with this information: The $45 sewer line surcharge is still in place.  The first 1,000 gallons is a  minimum charge which includes $17.86 per customer fee from ALCOSAN and $10.70 for the processing. $28.56 is the cost of the first 1,000 gallons and $10.70 for each additional 1,000 gallons.  Using the same structure as last year's fees, we removed ALCOSAN's per 1,000 gallon charge from the fee to determine the municipal portion of the fee.  
2019: Confirmed rates with Kathy Ulanowicz by phone (4/15/19). They bill a $45 sewer line surcharge quarterly which does not include any ALCOSAN fees.  Then they bill $26.69 quarter for the first 1,000 gallons which does include ALCOSAN $16.69 fee and $7.94/1,000 leaving $2.06 to represent the municipal per 1,000 gallon cost.  After the first 1,000, the fee is $10/1,000, but includes alcosan so again it is $2.06 municipal fee.  Even though the rate stays the same for the first 1,000 and everything after it, we included the calculations to show how Blawnox actually bills their customers. (ALCOSAN is not broken out on their bill.)</t>
  </si>
  <si>
    <t xml:space="preserve">4/16/21: Emailed Valentina again. 3/11/2021: Emailed Valentina to get an update on 2021 rates. wallborough@yahoo.com 4/21: Valentina responded that the rates did increase about 7% to $139.92 for the first 10,000 gallons and $1.75/1,000 thereafter. 
4/2/2020: Received an email response from Valentina regarding 2020 rates which are $132.67 per 10,000 gallons and $1.50/1,000 thereafter.
Confirmed by phone with Valentina Lachimia (April 2019),  that Wall increased its base minimum rate from $119.61  to $125.90 for the first 10,000 gallons of use to cover the cost of ALCOSAN's increase. This base rate includes all ALCOSAN charges.  For  usage above 10,000 gallons per quarter, the additional charge is $1.50/1,000.  Alcosan rates are not listed separately on the bill.
</t>
  </si>
  <si>
    <t>3/29/21: emailed Kim Frollini.  She replied with $34.07 flat fee bimonthly for first 3,000 gallons.  Includes alcosan fees.  Then 11.30/1,000 gallons over 3,000  She also noted that in the future we should contact: Jessica Donahue at Jessica.Donahue@hswa-pa.org  Kim is in a new position and doesn't deal with the sewage rates anymore.
4/2020: Emailed Kim Frollini at Hampton Shaler Water Authority to check on Sharpsburg's rates. She shared that Sharpsburg's rates are $33.24 for a minimum usage of 2,000 gallons bimonthly.  This amount includes ALCOSAN's service fee and per thousand rate of $8.50. After the minimum usage of 2,000, the rate is 
$10.70 per 1,000 gallons, which includes Alcosan also. Since the bill is bimonthly,  to translate these fees into a quarterly, bill the base rate of 33.24 was multiplied by 1.5 and then ALCOSAN fees removed. The minimum usage was changed to reflect a quarterly bill also-(2,000*1.5) The 9,000 additional gallons were calculated using the $10.70/1,000 minus ALCOSAN charge.
2019: Survey completed by Barb Ruhie.  Sharpsburg bills every two months.  It provided conflicting information so the rates were confirmed with a call to Hampton Water/Sewer Authority (4/17/19) who does the billing Flat rate increased from $31.74 to $32.46/2,000 gallons and $9.10/1,000 after that (includes ALCOSAN fees).  Barb said municipal rates increased .94% from 2018, but the overall municipal part of rate went down for the customer because the ALCOSAN fees are rolled into it.(Note: Because of the bimonthly billing cycle, to translate these fees into a quarterly, bill the base rate of 32.46 was multiplied by 1.5 and then ALCOSAN fees removed. The 10,000 additional gallons were calculated using the $9.10/1,000 minus ALCOSAN charge.</t>
  </si>
  <si>
    <t>4/21/21: Requested multiple times from Jordan Tax service with no response, so emailed Deborah Stecko dstecko@ingramborough.org . Deborah responded that Ingram updated their rates with Jordan Tax.  .37 monthly service fee and $4.00/1,000 usage fee.  Alcosan fees are updated to 2021 rates so Ingram is no longer absorbing the increase.  3/15/21: Requested from Jordan Tax Service. 
5/2020:  Jordan Tax Service (Stephanie Conaway sconaway@jordantax.com) indicated that Ingram has not yet updated their fees with Jordan so they are charging customers the 2018 rates (including Alcosan's 2018 rates of $5.20 service fee monthly and 7.42/1,000 gallons).  To accurately represent Ingram's municipal rates for this survey, we calculated a total bill for an Ingram customer (using Ingram's current billing structure/rates with Jordan $4.00/1,000 and .38 monthly service fee) and then changed the municipal portion of the rate to reflect that they are absorbing the alcosan increase for their customers.  $5.58 monthly service fee and 11.72/1,000 for usage.  
According to JORDAN TAX SERVICE (4/16/19), no ordinance has been passed in Ingram to change the rates so they will continue billing as they have in 2018. For the purposes of the study, we have kept the rates the same as well.  The only increase would be ALCOSAN's increase.</t>
  </si>
  <si>
    <t>4/21/21: Emailed Jordan Tax Service several times with no response so emailed Steve Beuter sbeuter.carnegieboro@comcast.net  Steve replied by sending Carnegie's new ordinance showing $15.35/1,000 gallons as their rate (including alcosan's fees).  They do not charge flat service fee, just alcosan's fee of 6.37 monthly. 3/15/21: Requested from Jordan Tax Service. 
4/2020:  Could not find current info on Carnegie website so Jordan Tax Service will be our source. 5/2020: Jordan Tax Service (Stephanie Conaway sconaway@jordantax.com) provided 2020 rates: No monthly municipal service fee.  $14.80/1,000 gallons, which includes alcosan usage fee. Municipal fee actually went down a little. because they absorbed some of alcosan's increase.
2019 rates were obtained from JORDAN TAX SERVICE (4/16/19).  Municipal rates are same as 2018.  $14.29/1,000, which includes ALCOSAN usage rate.  The municipal usage fee remains at $6.35/1,000.  Overall bill only increased by ALCOSAN's increase.</t>
  </si>
  <si>
    <t xml:space="preserve">4/21/21: Emailed Jordan Tax Service several times with no response so emailed mgr/sec (no name listed on website) benavonheightsborough6@gmail.com   The secretary (no name) responded and said that Ben Avon Heights did not increase their rates for 2021, $11.76/1,000 gallons and $18.27 quarterly service fee which means they are absorbing Alcosan's rate increase.  3/15/21: Requested from Jordan Tax Service. 
5/2020: Jordan Tax Service (Stephanie Conaway sconaway@jordantax.com) provided 2020 rates:
$11.76/1,000 gallons and $18.27 quarterly service fee.  Both figures include Alcosan rates. The municipal portion of the rates actually decreased from 2019.
As of 4/16/19: no rate change has been reported for 2019 to Jordan Tax Service who does the billing. </t>
  </si>
  <si>
    <t>Ben Avon Heights^</t>
  </si>
  <si>
    <t>Millvale - Girty's Run^</t>
  </si>
  <si>
    <t xml:space="preserve">4/26/21: Did not hear from Jordan so emailed Eddie Figas, efigas@millvaleboro.com.  He responded quickly with their ordinance, outlining sewer rates for 2021.  The municipal piece did not change; only alcosan's rates increased.  See below for details on the municipal rate.  3/15/21: Requested from Jordan Tax Service.  3/15/21: Requested from Jordan Tax Service. 
5/2020: Jordan Tax Service (Stephanie Conaway sconaway@jordantax.com) provided 2020 rates which increased from 2019:  $7.35 monthly service fee. Includes alcosan so municipal portion is $1.40.  $14.50 for first 5,000 gallons (over the quarter even though it's bill monthly). After first 5,000 gallons, charged $6.00/1,000 by Girty's Run and $10.35/1,000 which includes alcosan.  In the end, Girty's Run gets the $6.00/1,000 and Millvale gets $1.85/1,000 so we rolled these rates together to represent the municipal piece at $7.85/1,000 gallons.
LVM 4/11/19 for Eddie Figas. 4/16/19: Millvale's automated message says to contact Jordan Tax Service regarding sewage billing, so requested Millvale rates from Jordan Tax.  4/16/19: Jordan Tax provided the following rates: monthly service fee of $6.36, which includes alcosan service fee. $13.50 qtr for first 5,000 gallons.  Then $14.19/1,000 for additional usage beyond 5,000.  This includes ALCOSAN rate and also includes a $5/1,000 rate that goes to Girty's Run.  In the end, Millvale, gets 80 cents ($2.40/qtr)  from the service fee and $1.25/1,000 for usage.  Girty's Run gets the $5.00/1,000 usage.  Everything outside of the ALCOSAN rates has been rolled into the "municipal fee" for this survey. </t>
  </si>
  <si>
    <t xml:space="preserve">
</t>
  </si>
  <si>
    <t>5/10: Emailed with a different address. nina.belcastro@baldwintownship.com She replied by attaching their ordinance for updated rates.  The municipal rate remains $5.50/1,000 gallons with no service fee.  Only alcosan rates increased. 4/21/21: Requested multiple times from Jordan Tax service with no response, so emailed Nina Belcastro info@baldwintownship.com. 
3/15/21: Requested from Jordan Tax Service. 
5/2020: Jordan Tax Service (Stephanie Conaway sconaway@jordantax.com) provided 2020 rates: No monthly municipal flat fee.  $14/1,000 includes alcosan usage rate. 
2019 rates were obtained from JORDAN TAX SERVICE (4/16/19).  Municipal rates are same as 2018.  $13.44/1,000, which includes ALCOSAN usage rate.  The municipal usage fee remains at $5.50/1,000.  Overall bill only increased by ALCOSAN's increase.</t>
  </si>
  <si>
    <t>Baldwin Township^</t>
  </si>
  <si>
    <t>5/10: Emailed again. Ben responded with: "Dormont follows an ordinance that automatically adopts the annual ALCOSAN fee increase. The Borough’s portion has not changed in a number of years, so the only increase comes from ALCOSAN."   That means that the 2020 rate of $13/1,000 will now be $13.60/1,000.  Once alcosan's rate is removed, Dormont's municipal sewage rate remains $4.50/1,000 gallons.  No flat fee.  4/22/21: Emailed Jordan Tax Service several times with no response so emailed Benjamin Estell, Borough Manager bestell@boro.dormont.pa.us 
3/15/21: Requested from Jordan Tax Service. 
5/2020: Jordan Tax Service (Stephanie Conaway sconaway@jordantax.com) provided 2020 rates:No monthly municipal service fee.  Fee only increased by alcosan's increase from 12.44/1,000 to $13.00/1,000 in 2020. 
2019 rates were obtained from JORDAN TAX SERVICE (4/16/19).  Municipal rates are same as 2018.  $12.44/1,000, which includes ALCOSAN usage rate.  The municipal usage fee remains at $4.50/1,000.  Overall bill only increased by ALCOSAN's increase.</t>
  </si>
  <si>
    <t>5/10/21: Requested several times from Jordan Tax with no response so emailed Bill Etherington manager@westhomesteadpa.com.  He replied that their rates have only gone up by alcosan's increase so their municipal fees remain $1.28 service fee and $4.55/1,000 gallons.  Overall rates are $7.65 monthly service fee and $13.65/1,000  3/15/21: Requested from Jordan Tax Service. 
5/2020: Jordan Tax Service (Stephanie Conaway sconaway@jordantax.com) provided 2020 rates: $7.23 flat monthly service charge and $13.05/1,000 gallons usage.  Both fees include alcosan rates and only increased by alcosan's increase. Municipal rates remain at $1.28 monthly service fee and $4.55/1,000 usage.
2019 rates were obtained from JORDAN TAX SERVICE (4/16/19).  Municipal rates are same as 2018.  $6.84/monthly service fee and $12.49/1,000. Both include ALCOSAN rates.  The municipal fees remaiin at $1.28/mo service fee and  $4.55/1,000.  Overall bill only increased by ALCOSAN's increase.</t>
  </si>
  <si>
    <t xml:space="preserve">5/10: Emailed again. Mel responded that rates have increased to $78.12 /quarter for 1-7,000 gallons. Beyond 7,000 gallons the usage is $11.16/thousand gallons. 4/26/21: Emailed Jordan Tax Service several times with no response so emailed Mel Weinstein, Interim Manager. mweinstein39@kennedytwp.com 
3/15/21: Requested from Jordan Tax Service. 
04/2020:  Could only find info on Kennedy website for 2019.  Will get in touch with Jordan tax service. 5/2020: Jordan Tax Service (Stephanie Conaway sconaway@jordantax.com) provided 2020 rates: No quarterly muncipal service fee.  Charged $73.01 for 1-7,000 gallons and then $10.43/1,000 gallons after that. Alcosan fees are included in those rates.
2019: Data on 2019 sewer rates obtained online. (April 2019) http://www.kennedytwp.com/sewer-department/  Increased from $9.10/1,000 in 2018 to $9.75/1,000.  Includes ALCOSAN fees.  </t>
  </si>
  <si>
    <t xml:space="preserve">5/12: Shawn Rosensteel (ED of Robinson Water) responded and asked to be copied on future communications. srosensteel@robinsonwater.com.  Darrin also responded that there have been no change in sewage rates so Robinson is absorbing alcosan's increases since alcosan rates are incorporated. $23.73 quarterly and 5/10: Tried emailing the manager Frank Piccolino -  fpiccolino@townshipofrobinson.com 4/16/21: Emailed Darrin again. 03/22/21: Emailed Darrin dniemeyer@robinsonwater.com
04/2020: Emailed Darrin Niemeyer, Controller for The Municipal Authority of the Township of Robinson for an update. dniemeyer@robinsonwater.com 5/18: Resent email.  Did not hear from Darrin, so visited their website again - https://www.robinsonwater.com/sites/default/files/rate_schedule_5-1-2020.pdf -  and found updated sewer rates as of May 1, 2020: $23.73 quarterly fee and their usage fee increased from $7.24/1,000 to $7.94/1,000. Both include alcosan fees.
2019: Survey completed by Darrin Niemeyer, Controller,  (March 2019).  Rates did not increase overall so they absorbed ALCOSAN's increase.  Their rates were clarified by phone . Darrin indicated that both their quarterly flat service fee of $23.73 and their usage fee of $7.24/1,000 gallons included ALCOSAN's rates, which means they take a loss on their usage fee. </t>
  </si>
  <si>
    <t>5/12/21:  Called Braddock Borough and talked to Renee the clerk in the sewage dept.  She really seemed confused and totally unaware of the sewage charges. I explained what we knew about their rate in 2020 and she said she doesn't THINK it changed but I was unable to confirm that for sure.  Under the assumption that rates do NOT typically go down, we used the 34% of alcosan's rates as the formula for 2021. 
 5/10/21: Tried a different email for Deborah braddockmanager@comcast.net  4/16/21: Emailed Deborah again. 3/1/21: Emailed Deborah Brown. lynnbrown2010@gmail.com
3/25/20: Email confirmation from Deborah Brown that rates have remained the same for 2020. They charge 35% of ALCOSAN's fees as their municipal fee so the rate has gone up a little over $2 as ALCOSAN's rate increased..</t>
  </si>
  <si>
    <t xml:space="preserve">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unless the 7% is only reflected in the alcosan rates. Emailed Lisa Pisanko to confirm if that is correct.  clerk@reservetwp.com
4/2020: Sent an email to Lisa Pisanko, Water Clerk. She replied with the rates: The new rates for 2020: includes  Alcosan charges - 10.79/per 1,000 gallons and Girty’s Run are 14.29/per 1,000 gallons (10.79 + 3.50 Girtys charge).  
2019: Phone call with Kim at Reserve (April 2019)  $10.08/1,000 including ALCOSAN rate.  No service charge. About a 7% increase in municipal charge from $2.00 to $2.14/1,000 gallons. </t>
  </si>
  <si>
    <t xml:space="preserve">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Emailed Lisa Pisanko to confirm if that is correct.  clerk@reservetwp.com
4/2020: Sent an email to Lisa Pisanko, Water Clerk. She replied with the rates: The new rates for 2020 are Alcosan charges are 10.79/per 1,000 gallons and Girty’s Run are 14.29/per 1,000 gallons (10.79 + 3.50 Girtys charge).  
Phone call with Kim at Reserve (April 2019)  $12.58/1,000 including ALCOSAN rate and also includes a $2.50/1,000 gallon charge that goes to Girty's Run.  There was no where to include Girty's Run piece on the chart, so it is just wrapped into the $4.64 municipal charge. (In reality, the municipality only gets $2.14/1,000 gallons)  $2.00 quarterly service charge. Similarly, this rate increased 7% from $2.00 to $2.14. </t>
  </si>
  <si>
    <t>5/15: Tried calling the borough and didn't get an answer so did more digging on the website.  Found minutes from the December budget meeting that noted alcosan's 7% increase and it noted that Rosslyn Farms rate remains the same ($6.00/1,000; no service fee) That means their overall rate (which includes alcosan fees would change to $15.10 to accommodate alcosan's 7% increase. 5/10/21: Requested from Jordan several times with no response, so emailed Dorothy Falk rosslynfarms.secretary@gmail.com 3/15/21: Requested from Jordan Tax Service. 
04/2020: Found an update from Dec. 2019 council meeting on Rosslyn Farms website that mentioned alcosan's increase being passed on to residents.  Want to double check with Jordan Tax Service that the municipal portion remains only $6/1,000 gallons.  5/2020: Jordan Tax Service (Stephanie Conaway sconaway@jordantax.com) provided 2020 rates: No monthly municipal service fee and $14.50/1,000 for usage.  Includes alcosan fee and only increased by alcosan's increase so the municipal portion remains $6.00/1,000.
2019 rates were obtained from JORDAN TAX SERVICE (4/16/19).  Municipal rates are same as 2018.  $13.94/1,000, which includes ALCOSAN usage rate.  The municipal usage fee remains at $6.00/1,000.  Overall bill only increased by ALCOSAN's increase.</t>
  </si>
  <si>
    <r>
      <t>March 1, 2021: I emailed Connie administrator@eastmckeesportboro.com and she replied that their 2021 rates remian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t>
    </r>
    <r>
      <rPr>
        <sz val="9"/>
        <color rgb="FFFF0000"/>
        <rFont val="Calibri"/>
        <family val="2"/>
        <scheme val="minor"/>
      </rPr>
      <t xml:space="preserve">
</t>
    </r>
    <r>
      <rPr>
        <sz val="9"/>
        <rFont val="Calibri"/>
        <family val="2"/>
        <scheme val="minor"/>
      </rPr>
      <t xml:space="preserve">
April 2020: I emailed Connie and she responded: The 2020 sewage rates for East McKeesport are as follows: $10.95 per thousand gallons with a minimum charge of $87.60 per 8,000 gallons or less. We subtracted ALCOSAN's rates to determine the muncipal portion.
Per survey from Connie Rosenbayger (March 2019).  ALCOSAN rates are included just as they were last year. East McKeesport only increased their rates by 2.5% (to $79.60/8,000 min usage) so they absorb some of the increase from ALCOSAN. (The 2019 overall sewage bill decreased by $1 because of it.) 4/10/19: Phone call with Connie clarified that we calculated this properly. </t>
    </r>
  </si>
  <si>
    <t xml:space="preserve">3/18/2021: A rate schedule is published on North Fayette's website through 2026.  The rates remain the same through 2021. See below for additional notes.To calculate rates, we removed alcosan's one month fee and 3,000 gallon charge from the $23 and then multiplied by 3 to represent one quarter and 9,000 gallons.  The remaining 3,000 were calculated using the $9/1,000 with alcosan removed.  
04/2020: Emailed Dave Lodovico, finance director, for an update. dlodovico@north-fayette.com.  He shared a resolution that they passed in September 2019 that includes a schedule of rate increases through 2026.  The now have a minimum monthly usage fee of $23 for 3,000 gallons. Their rate is $9/1,000 thereafter.  Both of these rates include ALCOSAN fees.  While it seems like they take a loss on each customer, many of their customers are serviced by the Moon Municipal Authority, which has a much lower rate structure.  This rate structure blended across both alcosan and Moon customers does not result in an overall loss for North Fayette, but we chose to only list the alcosan rates since the sewer rate survey is based on the alcosan service area only. 
2019: Person who answered the phone said rates stayed at $67.50 per 9,000 and 7.50/1,000 after that. Dave Lodovico, finance director, 4/15/19 confirmed this includes ALCOSAN rates and expressed his frustration.  He said the township was supposed to raise its rates in 2016 and 2018 but never did.  He also said that residents north of Steubenville Pike have their sewage treated by the Moon treatment plant so once the rates are blended, overall, NF is taking about a $16 hit on each person instead of $22 because the Moon treatment rates aren't nearly as high as ALCOSAN's.  </t>
  </si>
  <si>
    <t>Penn Hills</t>
  </si>
  <si>
    <t>Verona</t>
  </si>
  <si>
    <t>Wilkinsburg</t>
  </si>
  <si>
    <t>East McKeesport^</t>
  </si>
  <si>
    <t xml:space="preserve">3/11/21: WPJWA still does the billing.  Checked their rate sheet online and it says the same rate structure as 2020- 30% of ALCOSAN's rate. ALCOSAN's rate increased so Rankin's municipal portion increased as well. 
3/24/20: WPJWA still does the billing.  Checked their rate sheet online and it says the same rate as 2019- 30% of ALCOSAN's rate. ALCOSAN's rate increased so Rankin's municipal portion increased as well. 
2019: Shane Lanham completed the survey.  They bill monthly through WPJWA. He indicated no increase in sewage rates but they charge 30% of the total ALCOSAN sewage charge so while the percentage did not increase, the total sewer bill did due to ALCOSAN's increase. </t>
  </si>
  <si>
    <t>Baldwin Borough^</t>
  </si>
  <si>
    <t>3/25/21: Checked Avalon's website and found 2021 rates: http://www.boroughofavalon.org/resources/utilities.html#:~:text=Sewer%20rates%20for%202021%20are,assistance%20with%20your%20sewage%20bills%3F. Sewer rates for 2021 are $11.20 per 1,000 gallons treated and also includes a service charge of $29.06 per quarter.  (This includes alcosan's fees) Muncipal rates remain the same.  They have not increased.
4/2020: Lorraine Makatura confirmed via email that Avalon's rates remain the same for 2020.
2019: Survey completed by Lorraine Makatura (March 2019).  Avalon has not increased its rates since they began implementing a municipal fee in 2005.</t>
  </si>
  <si>
    <t>Kilbuck</t>
  </si>
  <si>
    <t xml:space="preserve">5/17: Called Jordan Tax Service.  They provided updated rates: $21.11 quarterly and $13.10/1,000 gallons.  These rates include alcosan fees. The municipal portion has increased slightly. 5/10: Emailed Harry again. He said he would get back to me when he was back in the office, but never did. 4/26/21: Emailed Jordan several times with no response so emailed Harry Dilmore harry@kilbucktownship.org.  3/15/21: Requested from Jordan Tax Service. 
5/2020: Jordan Tax Service (Stephanie Conaway sconaway@jordantax.com) indicated that Kilbuck has not yet updated their fees with Jordan so they are charging customers the 2019 rates (including Alcosan's 2019 rates of $16.69 quarterly service fee and $7.94/1,000).  To accurately represent their rates for this survey, we calculated a total bill for a Kilbuck customer (using Kilbuck's current structure/rate with Jordan) and then changed the municipal portion of the rate to reflect that they are absorbing the alcosan increase for their customers.  
$18.69 quarterly fee and $11.94/1,000 gallons usage.  Both include ALCOSAN fees so municipality absorbed alcosan's increase??
2019 rates confirmed with Jordan Tax Service who does the billing.  $18.69 quarterly fee and $11.94/1,000 gallons usage.  Both include ALCOSAN fees.  Rates only went up by ALCOSAN's increase. </t>
  </si>
  <si>
    <t xml:space="preserve">McCandless^ </t>
  </si>
  <si>
    <t>4/2021: Emailed Jeanne Creese for an update. jcreese@nevilletownship.us.  She replied that a rate study was done and a new resolution adopted 1/14/21. From her email: “Bills are sent quarterly.  There is a base rate charge of $39.00 for the first 3,000 gallons of usage. Usage over 3,000 gallons is charged at $21.75/1,000 (which again includes ALCOSAN’s per thousand gallon charge as well.)” Municipal rates did increase from $98.35 to 109.20.
4/2020: Emailed Jeanne Creese to see if the rates are the same for 2020. The rates have stayed the same for 2020  although Jeanne indicated that: "We have initiated a rate study and I anticipated a rate increase for July 2020.  Due to the current emergency, that may be delayed until later in 2020 or early 2021."
2019: Voicemal from Jeanne Creese (4/11/19) confirmed that there has been no rate change for 2019. $17.30/1,000 includes ALCOSAN charge of $7.94/1,000. 10.61 quarterly service fee.  Muni absorbs difference from ALCOSAN 16.69 charge.  Therefore, residents see no difference in their overall sewer bill from  2018.</t>
  </si>
  <si>
    <t xml:space="preserve">Reserve^ </t>
  </si>
  <si>
    <t>Sharpsburg^</t>
  </si>
  <si>
    <t>Carnegie^</t>
  </si>
  <si>
    <t>Ingram</t>
  </si>
  <si>
    <t>3/16/21: Emailed Gloria. Gloria retired in July 2020.  Kimberly A. Lauff
Recording Secretary replied mcdonaldsewage@mcdonaldboro.com.  She reported that the 2021 rates are $24.70 monthly service fee and $13.90/1,000 gallons. Municipal rate has increased from $92.24 to $112.59.  Includes alcosan fees.
04/2020: Emailed Gloria Stroop, McDonald Sewage Authority Recording Secretary to get an update (McDonald Sewage Authority does not have a website)mcdonaldsewage@mcdonaldboro.com.  She responded confirming that their service fee has remained at $24.70/month and usage has increased from $10.50 to $11.50/1,000.  Alcosan fees are included in this structure.
2019: Survey from Gloria Stroop (Feb. 2019) $24.7/ monthly SC; $10.50/MG incls. ALCOSAN rates.  Municipal rate did not increase from 2018.  No overall increase so McDonald absorbed ALCOSAN's increase.</t>
  </si>
  <si>
    <t>3/16/21: Emailed Ruth Pompey, manager of McKees Rocks through the borough website to email addresses were provided).  Ruth responded that the rates remain the same at $1 quarterly and $4.32/1,000
04/2020: Emailed the borough office (generic email found on McKees Rocks website) to get an update.  adminassistant@mckeesrocks.pa.us.  
Resent email on 5/18. LeeAnn Wozniak, Assistant Borough Secretary, replied and said we should contact Berkheimer once again. "Please call 866-309-6939 to confirm current rates" 5/2020: Spoke with a Berkheimer rep, James Hunt (jhunt@hab-inc.com).  McKees Rocks fees have remained the same for 2020.  The quarterly municipal fee remained at $1.00 and $4.32/1,000 usage rate.  Alcosan fees are broken out separately on their bills.  Only alcosan fees have increased.  
2019: Phone call with McKees Rocks.  Recommended I call Berkheimer, their billing agent (866-309-6939).  They were helpful but only had 2018 rates of $1/quarterly service charge and $4.32/1,000 gallons. ALCOSAN is broken out on the quarterly bills.  A call back to McKees Rocks confirmed that 2019 municipal rates are the same.</t>
  </si>
  <si>
    <t>Munhall^</t>
  </si>
  <si>
    <t>North Fayette^</t>
  </si>
  <si>
    <t>Robinson^</t>
  </si>
  <si>
    <t>Whitehall^</t>
  </si>
  <si>
    <t>03/22/21: Checked Whitehall's website and found the 2021 rates: https://whitehallboro.org/for-residents/utilities/  They bill quarterly. "The 2021 sewage rate is $14.01  per thousand gallons of water used. In addition, the Allegheny County Sanitary Authority (ALCOSAN) bills a Customer Service charge of $19.11 per bill."  This usage rate includes alcosan's fees. 
04/2020: Found information on the Whitehall borough website regarding 2020 sewer rates. https://www.whitehallboro.org/borough-pages/finance-tax.html "The 2020 sewage rate is $13.43 per thousand of gallons of water used. In addition, the Allegheny County Sanitary Authority (ALCOSAN) bills a Customer Service charge of $17.86 per bill."  That means whitehall is absorbing a portion of the increase from alcosan so the municipal portion of the bill has actually decreased by a few dollars.
2019: 2019 rates were obtained from JORDAN TAX SERVICE (4/16/19).  Municipal usage rate increased by 30 cents from $4.30 to $4.60  (about 6% increase).  $12.54/1,000.  includes ALCOSAN rates.  They bill quarterly.</t>
  </si>
  <si>
    <t>Rosslyn Farms^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</si>
</sst>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
  </numFmts>
  <fonts count="17" x14ac:knownFonts="1">
    <font>
      <sz val="11"/>
      <color theme="1"/>
      <name val="Calibri"/>
      <family val="2"/>
      <scheme val="minor"/>
    </font>
    <font>
      <b/>
      <sz val="10"/>
      <name val="Calibri"/>
      <family val="2"/>
      <scheme val="minor"/>
    </font>
    <font>
      <sz val="10"/>
      <name val="Calibri"/>
      <family val="2"/>
      <scheme val="minor"/>
    </font>
    <font>
      <b/>
      <sz val="11"/>
      <name val="Arial"/>
      <family val="2"/>
    </font>
    <font>
      <sz val="11"/>
      <name val="Arial"/>
      <family val="2"/>
    </font>
    <font>
      <sz val="11"/>
      <name val="Calibri"/>
      <family val="2"/>
      <scheme val="minor"/>
    </font>
    <font>
      <b/>
      <sz val="11"/>
      <name val="Calibri"/>
      <family val="2"/>
      <scheme val="minor"/>
    </font>
    <font>
      <sz val="9"/>
      <name val="Calibri"/>
      <family val="2"/>
      <scheme val="minor"/>
    </font>
    <font>
      <b/>
      <sz val="14"/>
      <name val="Calibri"/>
      <family val="2"/>
      <scheme val="minor"/>
    </font>
    <font>
      <b/>
      <sz val="12"/>
      <color theme="3"/>
      <name val="Calibri"/>
      <family val="2"/>
      <scheme val="minor"/>
    </font>
    <font>
      <sz val="9"/>
      <color theme="1"/>
      <name val="Calibri"/>
      <family val="2"/>
      <scheme val="minor"/>
    </font>
    <font>
      <sz val="11"/>
      <color theme="1"/>
      <name val="Calibri"/>
      <family val="2"/>
      <scheme val="minor"/>
    </font>
    <font>
      <sz val="9"/>
      <name val="Calibri"/>
      <family val="2"/>
    </font>
    <font>
      <b/>
      <sz val="9"/>
      <name val="Calibri"/>
      <family val="2"/>
      <scheme val="minor"/>
    </font>
    <font>
      <sz val="9"/>
      <color rgb="FFFF0000"/>
      <name val="Calibri"/>
      <family val="2"/>
      <scheme val="minor"/>
    </font>
    <font>
      <sz val="11"/>
      <name val="Cambria"/>
      <family val="1"/>
      <scheme val="major"/>
    </font>
    <font>
      <vertAlign val="superscript"/>
      <sz val="12"/>
      <name val="Cambria"/>
      <family val="1"/>
      <scheme val="maj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44" fontId="11" fillId="0" borderId="0" applyFont="0" applyFill="0" applyBorder="0" applyAlignment="0" applyProtection="0"/>
  </cellStyleXfs>
  <cellXfs count="86">
    <xf numFmtId="0" fontId="0" fillId="0" borderId="0" xfId="0"/>
    <xf numFmtId="0" fontId="1" fillId="0" borderId="0" xfId="0" applyFont="1" applyFill="1"/>
    <xf numFmtId="0" fontId="3" fillId="0" borderId="0" xfId="0" applyFont="1" applyFill="1"/>
    <xf numFmtId="0" fontId="4" fillId="0" borderId="0" xfId="0" applyFont="1" applyFill="1" applyBorder="1"/>
    <xf numFmtId="0" fontId="5" fillId="0" borderId="0" xfId="0" applyFont="1" applyFill="1"/>
    <xf numFmtId="0" fontId="5" fillId="0" borderId="0" xfId="0" applyFont="1" applyFill="1" applyAlignment="1">
      <alignment horizontal="center" wrapText="1"/>
    </xf>
    <xf numFmtId="0" fontId="5" fillId="0" borderId="0" xfId="0" applyFont="1" applyFill="1" applyBorder="1"/>
    <xf numFmtId="0" fontId="5" fillId="0" borderId="0" xfId="0" applyFont="1" applyFill="1" applyAlignment="1">
      <alignment horizontal="left" wrapText="1"/>
    </xf>
    <xf numFmtId="0" fontId="8" fillId="0" borderId="0" xfId="0" applyFont="1" applyFill="1"/>
    <xf numFmtId="0" fontId="9" fillId="0" borderId="0" xfId="0" applyFont="1" applyFill="1"/>
    <xf numFmtId="0" fontId="1" fillId="0" borderId="0" xfId="0" applyFont="1" applyFill="1" applyBorder="1"/>
    <xf numFmtId="0" fontId="6" fillId="0" borderId="0" xfId="0" applyFont="1" applyFill="1"/>
    <xf numFmtId="164" fontId="5" fillId="0" borderId="0" xfId="0" applyNumberFormat="1" applyFont="1" applyFill="1"/>
    <xf numFmtId="164" fontId="5" fillId="0" borderId="0" xfId="0" applyNumberFormat="1" applyFont="1" applyFill="1" applyBorder="1" applyAlignment="1">
      <alignment horizontal="center"/>
    </xf>
    <xf numFmtId="0" fontId="5" fillId="0" borderId="0" xfId="0" applyFont="1" applyFill="1" applyBorder="1" applyAlignment="1">
      <alignment horizontal="center"/>
    </xf>
    <xf numFmtId="3" fontId="5" fillId="0" borderId="0" xfId="0" applyNumberFormat="1" applyFont="1" applyFill="1" applyBorder="1" applyAlignment="1">
      <alignment horizontal="center"/>
    </xf>
    <xf numFmtId="0" fontId="5" fillId="2" borderId="0" xfId="0" applyFont="1" applyFill="1"/>
    <xf numFmtId="0" fontId="0" fillId="2" borderId="0" xfId="0" applyFont="1" applyFill="1"/>
    <xf numFmtId="0" fontId="5" fillId="0" borderId="1" xfId="0" applyFont="1" applyFill="1" applyBorder="1" applyAlignment="1">
      <alignment vertical="top" wrapText="1"/>
    </xf>
    <xf numFmtId="0" fontId="5" fillId="0" borderId="2" xfId="0" applyFont="1" applyFill="1" applyBorder="1" applyAlignment="1">
      <alignment vertical="top"/>
    </xf>
    <xf numFmtId="0" fontId="5" fillId="0" borderId="1" xfId="0" applyFont="1" applyFill="1" applyBorder="1" applyAlignment="1">
      <alignment vertical="top"/>
    </xf>
    <xf numFmtId="0" fontId="5" fillId="0" borderId="3" xfId="0" applyFont="1" applyFill="1" applyBorder="1" applyAlignment="1">
      <alignment vertical="top"/>
    </xf>
    <xf numFmtId="0" fontId="5" fillId="0" borderId="3" xfId="0" applyFont="1" applyFill="1" applyBorder="1" applyAlignment="1">
      <alignment vertical="top" wrapText="1"/>
    </xf>
    <xf numFmtId="0" fontId="0" fillId="0" borderId="0" xfId="0" applyFont="1" applyFill="1"/>
    <xf numFmtId="44" fontId="5" fillId="0" borderId="0" xfId="1" applyFont="1" applyFill="1"/>
    <xf numFmtId="0" fontId="5" fillId="0" borderId="0" xfId="0" applyNumberFormat="1" applyFont="1" applyFill="1" applyAlignment="1">
      <alignment vertical="top"/>
    </xf>
    <xf numFmtId="0" fontId="5" fillId="0" borderId="11" xfId="0" applyFont="1" applyFill="1" applyBorder="1"/>
    <xf numFmtId="0" fontId="5" fillId="2" borderId="2" xfId="0" applyFont="1" applyFill="1" applyBorder="1" applyAlignment="1">
      <alignment vertical="top"/>
    </xf>
    <xf numFmtId="164" fontId="5" fillId="2" borderId="2" xfId="0" applyNumberFormat="1" applyFont="1" applyFill="1" applyBorder="1" applyAlignment="1">
      <alignment vertical="top"/>
    </xf>
    <xf numFmtId="3" fontId="5" fillId="2" borderId="2" xfId="0" applyNumberFormat="1" applyFont="1" applyFill="1" applyBorder="1" applyAlignment="1">
      <alignment vertical="top"/>
    </xf>
    <xf numFmtId="0" fontId="0" fillId="2" borderId="2" xfId="0" applyFill="1" applyBorder="1" applyAlignment="1">
      <alignment vertical="top"/>
    </xf>
    <xf numFmtId="164" fontId="0" fillId="2" borderId="2" xfId="0" applyNumberFormat="1" applyFont="1" applyFill="1" applyBorder="1" applyAlignment="1">
      <alignment vertical="top"/>
    </xf>
    <xf numFmtId="3" fontId="0" fillId="2" borderId="2" xfId="0" applyNumberFormat="1" applyFont="1" applyFill="1" applyBorder="1" applyAlignment="1">
      <alignment vertical="top"/>
    </xf>
    <xf numFmtId="1" fontId="0" fillId="2" borderId="2" xfId="0" applyNumberFormat="1" applyFont="1" applyFill="1" applyBorder="1" applyAlignment="1">
      <alignment vertical="top"/>
    </xf>
    <xf numFmtId="164" fontId="5" fillId="0" borderId="2" xfId="0" applyNumberFormat="1" applyFont="1" applyFill="1" applyBorder="1" applyAlignment="1">
      <alignment vertical="top"/>
    </xf>
    <xf numFmtId="3" fontId="5" fillId="0" borderId="2" xfId="0" applyNumberFormat="1" applyFont="1" applyFill="1" applyBorder="1" applyAlignment="1">
      <alignment vertical="top"/>
    </xf>
    <xf numFmtId="0" fontId="5" fillId="0" borderId="5" xfId="0" applyFont="1" applyFill="1" applyBorder="1" applyAlignment="1">
      <alignment vertical="top"/>
    </xf>
    <xf numFmtId="0" fontId="5" fillId="0" borderId="2" xfId="0" applyFont="1" applyFill="1" applyBorder="1" applyAlignment="1">
      <alignment vertical="top" wrapText="1"/>
    </xf>
    <xf numFmtId="1" fontId="5" fillId="0" borderId="2" xfId="0" applyNumberFormat="1" applyFont="1" applyFill="1" applyBorder="1" applyAlignment="1">
      <alignment vertical="top"/>
    </xf>
    <xf numFmtId="0" fontId="0" fillId="0" borderId="2" xfId="0" applyFill="1" applyBorder="1" applyAlignment="1">
      <alignment vertical="top"/>
    </xf>
    <xf numFmtId="164" fontId="0" fillId="0" borderId="2" xfId="0" applyNumberFormat="1" applyFont="1" applyFill="1" applyBorder="1" applyAlignment="1">
      <alignment vertical="top"/>
    </xf>
    <xf numFmtId="3" fontId="0" fillId="0" borderId="2" xfId="0" applyNumberFormat="1" applyFont="1" applyFill="1" applyBorder="1" applyAlignment="1">
      <alignment vertical="top"/>
    </xf>
    <xf numFmtId="0" fontId="0" fillId="0" borderId="0" xfId="0" applyAlignment="1">
      <alignment vertical="top"/>
    </xf>
    <xf numFmtId="0" fontId="5" fillId="2" borderId="0" xfId="0" applyFont="1" applyFill="1" applyAlignment="1">
      <alignment vertical="top"/>
    </xf>
    <xf numFmtId="0" fontId="5" fillId="2" borderId="2" xfId="0" applyFont="1" applyFill="1" applyBorder="1"/>
    <xf numFmtId="0" fontId="5" fillId="0" borderId="12" xfId="0" applyFont="1" applyFill="1" applyBorder="1" applyAlignment="1">
      <alignment vertical="top"/>
    </xf>
    <xf numFmtId="8" fontId="5" fillId="0" borderId="2" xfId="0" applyNumberFormat="1" applyFont="1" applyFill="1" applyBorder="1" applyAlignment="1">
      <alignment vertical="top"/>
    </xf>
    <xf numFmtId="0" fontId="0" fillId="0" borderId="2" xfId="0" applyFont="1" applyFill="1" applyBorder="1" applyAlignment="1">
      <alignment vertical="top"/>
    </xf>
    <xf numFmtId="0" fontId="5" fillId="0" borderId="2" xfId="0" applyNumberFormat="1" applyFont="1" applyFill="1" applyBorder="1" applyAlignment="1">
      <alignment vertical="top"/>
    </xf>
    <xf numFmtId="164" fontId="5" fillId="0" borderId="0" xfId="0" applyNumberFormat="1" applyFont="1" applyFill="1" applyAlignment="1">
      <alignment vertical="top"/>
    </xf>
    <xf numFmtId="7" fontId="5" fillId="0" borderId="2" xfId="0" applyNumberFormat="1" applyFont="1" applyFill="1" applyBorder="1" applyAlignment="1">
      <alignment vertical="top"/>
    </xf>
    <xf numFmtId="44" fontId="5" fillId="0" borderId="2" xfId="1" applyFont="1" applyFill="1" applyBorder="1" applyAlignment="1">
      <alignment vertical="top"/>
    </xf>
    <xf numFmtId="1" fontId="5" fillId="0" borderId="2" xfId="1" applyNumberFormat="1" applyFont="1" applyFill="1" applyBorder="1" applyAlignment="1">
      <alignment vertical="top"/>
    </xf>
    <xf numFmtId="7" fontId="5" fillId="0" borderId="2" xfId="1" applyNumberFormat="1" applyFont="1" applyFill="1" applyBorder="1" applyAlignment="1">
      <alignment vertical="top"/>
    </xf>
    <xf numFmtId="0" fontId="15" fillId="0" borderId="0" xfId="0" applyFont="1" applyFill="1"/>
    <xf numFmtId="0" fontId="16" fillId="0" borderId="0" xfId="0" applyFont="1" applyFill="1"/>
    <xf numFmtId="164" fontId="15" fillId="0" borderId="0" xfId="0" applyNumberFormat="1" applyFont="1" applyFill="1"/>
    <xf numFmtId="0" fontId="5" fillId="0" borderId="4" xfId="0" applyFont="1" applyFill="1" applyBorder="1" applyAlignment="1">
      <alignment vertical="top"/>
    </xf>
    <xf numFmtId="0" fontId="5" fillId="0" borderId="6" xfId="0" applyFont="1" applyFill="1" applyBorder="1" applyAlignment="1">
      <alignment vertical="top"/>
    </xf>
    <xf numFmtId="0" fontId="12" fillId="0" borderId="0" xfId="0" applyFont="1" applyFill="1" applyAlignment="1">
      <alignment horizontal="left" wrapText="1"/>
    </xf>
    <xf numFmtId="0" fontId="5" fillId="2" borderId="5" xfId="0" applyFont="1" applyFill="1" applyBorder="1" applyAlignment="1">
      <alignment vertical="top"/>
    </xf>
    <xf numFmtId="1" fontId="5" fillId="2" borderId="2" xfId="0" applyNumberFormat="1" applyFont="1" applyFill="1" applyBorder="1" applyAlignment="1">
      <alignment vertical="top"/>
    </xf>
    <xf numFmtId="0" fontId="5" fillId="0" borderId="0" xfId="0" applyFont="1" applyFill="1" applyAlignment="1" applyProtection="1">
      <alignment horizontal="left" wrapText="1"/>
      <protection hidden="1"/>
    </xf>
    <xf numFmtId="0" fontId="5" fillId="0" borderId="1" xfId="0" applyFont="1" applyFill="1" applyBorder="1" applyAlignment="1" applyProtection="1">
      <alignment vertical="top" wrapText="1"/>
      <protection hidden="1"/>
    </xf>
    <xf numFmtId="0" fontId="7" fillId="0" borderId="3" xfId="0" applyFont="1" applyFill="1" applyBorder="1" applyAlignment="1" applyProtection="1">
      <alignment vertical="top" wrapText="1"/>
      <protection hidden="1"/>
    </xf>
    <xf numFmtId="0" fontId="7" fillId="0" borderId="2" xfId="0" applyFont="1" applyFill="1" applyBorder="1" applyAlignment="1" applyProtection="1">
      <alignment vertical="top" wrapText="1"/>
      <protection hidden="1"/>
    </xf>
    <xf numFmtId="0" fontId="7" fillId="2" borderId="2" xfId="0" applyFont="1" applyFill="1" applyBorder="1" applyAlignment="1" applyProtection="1">
      <alignment vertical="top" wrapText="1"/>
      <protection hidden="1"/>
    </xf>
    <xf numFmtId="0" fontId="12" fillId="0" borderId="2" xfId="0" applyFont="1" applyFill="1" applyBorder="1" applyAlignment="1" applyProtection="1">
      <alignment vertical="top" wrapText="1"/>
      <protection hidden="1"/>
    </xf>
    <xf numFmtId="0" fontId="2" fillId="0" borderId="0" xfId="0" applyFont="1" applyFill="1" applyAlignment="1" applyProtection="1">
      <alignment horizontal="left" wrapText="1"/>
      <protection hidden="1"/>
    </xf>
    <xf numFmtId="0" fontId="15" fillId="0" borderId="0" xfId="0" applyFont="1" applyFill="1" applyAlignment="1" applyProtection="1">
      <alignment horizontal="left" wrapText="1"/>
      <protection hidden="1"/>
    </xf>
    <xf numFmtId="0" fontId="5" fillId="0" borderId="7" xfId="0" applyFont="1" applyFill="1" applyBorder="1" applyAlignment="1" applyProtection="1">
      <alignment horizontal="left" vertical="top" wrapText="1"/>
      <protection hidden="1"/>
    </xf>
    <xf numFmtId="0" fontId="5" fillId="0" borderId="7" xfId="0" applyFont="1" applyFill="1" applyBorder="1" applyAlignment="1" applyProtection="1">
      <alignment horizontal="left" vertical="top"/>
      <protection hidden="1"/>
    </xf>
    <xf numFmtId="0" fontId="2" fillId="0" borderId="0" xfId="0" applyFont="1" applyFill="1" applyBorder="1" applyAlignment="1" applyProtection="1">
      <alignment horizontal="left" vertical="top" wrapText="1"/>
      <protection hidden="1"/>
    </xf>
    <xf numFmtId="0" fontId="5" fillId="0" borderId="8"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7" fillId="2" borderId="10" xfId="0" applyFont="1" applyFill="1" applyBorder="1" applyAlignment="1" applyProtection="1">
      <alignment vertical="top" wrapText="1"/>
      <protection hidden="1"/>
    </xf>
    <xf numFmtId="0" fontId="10" fillId="2" borderId="10" xfId="0" applyFont="1" applyFill="1" applyBorder="1" applyAlignment="1" applyProtection="1">
      <alignment vertical="top" wrapText="1"/>
      <protection hidden="1"/>
    </xf>
    <xf numFmtId="0" fontId="7" fillId="0" borderId="10" xfId="0" applyFont="1" applyFill="1" applyBorder="1" applyAlignment="1" applyProtection="1">
      <alignment vertical="top" wrapText="1"/>
      <protection hidden="1"/>
    </xf>
    <xf numFmtId="0" fontId="10" fillId="0" borderId="10" xfId="0" applyFont="1" applyFill="1" applyBorder="1" applyAlignment="1" applyProtection="1">
      <alignment vertical="top" wrapText="1"/>
      <protection hidden="1"/>
    </xf>
    <xf numFmtId="0" fontId="7" fillId="0" borderId="10" xfId="0" applyNumberFormat="1" applyFont="1" applyFill="1" applyBorder="1" applyAlignment="1" applyProtection="1">
      <alignment vertical="top" wrapText="1"/>
      <protection hidden="1"/>
    </xf>
    <xf numFmtId="0" fontId="2" fillId="0" borderId="10" xfId="1" applyNumberFormat="1" applyFont="1" applyFill="1" applyBorder="1" applyAlignment="1" applyProtection="1">
      <alignment vertical="top" wrapText="1"/>
      <protection hidden="1"/>
    </xf>
    <xf numFmtId="0" fontId="2" fillId="0" borderId="7" xfId="0" applyFont="1" applyFill="1" applyBorder="1" applyAlignment="1" applyProtection="1">
      <alignment horizontal="left" vertical="top" wrapText="1"/>
      <protection hidden="1"/>
    </xf>
    <xf numFmtId="49" fontId="12" fillId="0" borderId="0" xfId="0" applyNumberFormat="1" applyFont="1" applyFill="1" applyAlignment="1" applyProtection="1">
      <alignment horizontal="left" vertical="top" wrapText="1"/>
      <protection hidden="1"/>
    </xf>
    <xf numFmtId="49" fontId="12" fillId="0" borderId="1" xfId="0" applyNumberFormat="1" applyFont="1" applyFill="1" applyBorder="1" applyAlignment="1" applyProtection="1">
      <alignment vertical="top" wrapText="1"/>
      <protection hidden="1"/>
    </xf>
    <xf numFmtId="0" fontId="12" fillId="0" borderId="3" xfId="0" applyFont="1" applyFill="1" applyBorder="1" applyAlignment="1" applyProtection="1">
      <alignment vertical="top" wrapText="1"/>
      <protection hidden="1"/>
    </xf>
    <xf numFmtId="0" fontId="12" fillId="2" borderId="2" xfId="0" applyFont="1" applyFill="1" applyBorder="1" applyAlignment="1" applyProtection="1">
      <alignment vertical="top" wrapText="1"/>
      <protection hidden="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zoomScaleNormal="100" workbookViewId="0">
      <pane xSplit="1" topLeftCell="B1" activePane="topRight" state="frozen"/>
      <selection pane="topRight" activeCell="P9" sqref="P9"/>
    </sheetView>
  </sheetViews>
  <sheetFormatPr defaultColWidth="9.140625" defaultRowHeight="15" x14ac:dyDescent="0.25"/>
  <cols>
    <col min="1" max="1" width="20.85546875" style="4" customWidth="1"/>
    <col min="2" max="2" width="14.7109375" style="4" customWidth="1"/>
    <col min="3" max="3" width="9" style="4" customWidth="1"/>
    <col min="4" max="4" width="9.140625" style="4" customWidth="1"/>
    <col min="5" max="5" width="8.7109375" style="4" customWidth="1"/>
    <col min="6" max="6" width="8.42578125" style="4" customWidth="1"/>
    <col min="7" max="7" width="11.85546875" style="4" customWidth="1"/>
    <col min="8" max="8" width="10.28515625" style="4" customWidth="1"/>
    <col min="9" max="9" width="22.7109375" style="4" customWidth="1"/>
    <col min="10" max="11" width="15.28515625" style="4" customWidth="1"/>
    <col min="12" max="12" width="16.5703125" style="4" customWidth="1"/>
    <col min="13" max="13" width="15" style="4" customWidth="1"/>
    <col min="14" max="14" width="18.5703125" style="4" customWidth="1"/>
    <col min="15" max="15" width="62.42578125" style="71" hidden="1" customWidth="1"/>
    <col min="16" max="16384" width="9.140625" style="4"/>
  </cols>
  <sheetData>
    <row r="1" spans="1:15" ht="18.75" x14ac:dyDescent="0.3">
      <c r="A1" s="8" t="s">
        <v>85</v>
      </c>
      <c r="B1" s="8"/>
      <c r="C1" s="8"/>
      <c r="D1" s="8"/>
      <c r="O1" s="70"/>
    </row>
    <row r="2" spans="1:15" ht="15.75" x14ac:dyDescent="0.25">
      <c r="A2" s="9" t="s">
        <v>0</v>
      </c>
      <c r="B2" s="9"/>
      <c r="C2" s="9"/>
      <c r="D2" s="9"/>
      <c r="E2" s="9"/>
      <c r="N2" s="7"/>
      <c r="O2" s="70"/>
    </row>
    <row r="3" spans="1:15" x14ac:dyDescent="0.25">
      <c r="A3" s="4" t="s">
        <v>37</v>
      </c>
      <c r="C3" s="1"/>
      <c r="O3" s="70"/>
    </row>
    <row r="4" spans="1:15" x14ac:dyDescent="0.25">
      <c r="A4" s="4" t="s">
        <v>94</v>
      </c>
      <c r="D4" s="1"/>
      <c r="E4" s="1"/>
    </row>
    <row r="5" spans="1:15" ht="15.75" thickBot="1" x14ac:dyDescent="0.3">
      <c r="D5" s="1"/>
      <c r="E5" s="1"/>
      <c r="N5" s="26"/>
      <c r="O5" s="72"/>
    </row>
    <row r="6" spans="1:15" ht="30.75" thickBot="1" x14ac:dyDescent="0.3">
      <c r="A6" s="37" t="s">
        <v>29</v>
      </c>
      <c r="B6" s="37" t="s">
        <v>99</v>
      </c>
      <c r="C6" s="19" t="s">
        <v>93</v>
      </c>
      <c r="D6" s="19"/>
      <c r="E6" s="19" t="s">
        <v>21</v>
      </c>
      <c r="F6" s="19"/>
      <c r="G6" s="19" t="s">
        <v>98</v>
      </c>
      <c r="H6" s="19"/>
      <c r="I6" s="18" t="s">
        <v>33</v>
      </c>
      <c r="J6" s="18" t="s">
        <v>26</v>
      </c>
      <c r="K6" s="18" t="s">
        <v>27</v>
      </c>
      <c r="L6" s="20" t="s">
        <v>3</v>
      </c>
      <c r="M6" s="18" t="s">
        <v>34</v>
      </c>
      <c r="N6" s="20" t="s">
        <v>32</v>
      </c>
      <c r="O6" s="73" t="s">
        <v>40</v>
      </c>
    </row>
    <row r="7" spans="1:15" ht="33.75" customHeight="1" thickBot="1" x14ac:dyDescent="0.3">
      <c r="A7" s="21"/>
      <c r="B7" s="21"/>
      <c r="C7" s="19" t="s">
        <v>4</v>
      </c>
      <c r="D7" s="19" t="s">
        <v>5</v>
      </c>
      <c r="E7" s="19" t="s">
        <v>6</v>
      </c>
      <c r="F7" s="19" t="s">
        <v>7</v>
      </c>
      <c r="G7" s="19" t="s">
        <v>6</v>
      </c>
      <c r="H7" s="19" t="s">
        <v>8</v>
      </c>
      <c r="I7" s="22" t="s">
        <v>77</v>
      </c>
      <c r="J7" s="21" t="s">
        <v>9</v>
      </c>
      <c r="K7" s="21" t="s">
        <v>28</v>
      </c>
      <c r="L7" s="22" t="s">
        <v>75</v>
      </c>
      <c r="M7" s="22" t="s">
        <v>75</v>
      </c>
      <c r="N7" s="22" t="s">
        <v>35</v>
      </c>
      <c r="O7" s="74"/>
    </row>
    <row r="8" spans="1:15" ht="115.5" customHeight="1" thickBot="1" x14ac:dyDescent="0.3">
      <c r="A8" s="27" t="s">
        <v>22</v>
      </c>
      <c r="B8" s="27" t="s">
        <v>5</v>
      </c>
      <c r="C8" s="28"/>
      <c r="D8" s="28">
        <f>19.11*0.35</f>
        <v>6.6884999999999994</v>
      </c>
      <c r="E8" s="28">
        <f>9.1*0.35</f>
        <v>3.1849999999999996</v>
      </c>
      <c r="F8" s="29">
        <v>1000</v>
      </c>
      <c r="G8" s="28"/>
      <c r="H8" s="61"/>
      <c r="I8" s="28">
        <f>D8 +(E8*12)</f>
        <v>44.908499999999997</v>
      </c>
      <c r="J8" s="28">
        <v>19.11</v>
      </c>
      <c r="K8" s="28">
        <v>9.1</v>
      </c>
      <c r="L8" s="28">
        <f>K8*12</f>
        <v>109.19999999999999</v>
      </c>
      <c r="M8" s="28">
        <f>J8+L8</f>
        <v>128.31</v>
      </c>
      <c r="N8" s="28">
        <f>I8+M8</f>
        <v>173.21850000000001</v>
      </c>
      <c r="O8" s="75" t="s">
        <v>193</v>
      </c>
    </row>
    <row r="9" spans="1:15" s="17" customFormat="1" ht="108.75" thickBot="1" x14ac:dyDescent="0.3">
      <c r="A9" s="30" t="s">
        <v>50</v>
      </c>
      <c r="B9" s="30" t="s">
        <v>4</v>
      </c>
      <c r="C9" s="31"/>
      <c r="D9" s="31"/>
      <c r="E9" s="31">
        <v>3</v>
      </c>
      <c r="F9" s="32">
        <v>1000</v>
      </c>
      <c r="G9" s="31"/>
      <c r="H9" s="33"/>
      <c r="I9" s="31">
        <f>D9 +(E9*12)</f>
        <v>36</v>
      </c>
      <c r="J9" s="28">
        <v>19.11</v>
      </c>
      <c r="K9" s="28">
        <v>9.1</v>
      </c>
      <c r="L9" s="28">
        <f t="shared" ref="L9:L33" si="0">K9*12</f>
        <v>109.19999999999999</v>
      </c>
      <c r="M9" s="28">
        <f t="shared" ref="M9:M33" si="1">J9+L9</f>
        <v>128.31</v>
      </c>
      <c r="N9" s="31">
        <f t="shared" ref="N9:N33" si="2">I9+M9</f>
        <v>164.31</v>
      </c>
      <c r="O9" s="76" t="s">
        <v>86</v>
      </c>
    </row>
    <row r="10" spans="1:15" ht="108.75" thickBot="1" x14ac:dyDescent="0.3">
      <c r="A10" s="19" t="s">
        <v>46</v>
      </c>
      <c r="B10" s="19" t="s">
        <v>4</v>
      </c>
      <c r="C10" s="34"/>
      <c r="D10" s="34"/>
      <c r="E10" s="34">
        <v>4.5</v>
      </c>
      <c r="F10" s="35">
        <v>1000</v>
      </c>
      <c r="G10" s="34"/>
      <c r="H10" s="38"/>
      <c r="I10" s="34">
        <f>D10+(E10*12)</f>
        <v>54</v>
      </c>
      <c r="J10" s="34">
        <v>19.11</v>
      </c>
      <c r="K10" s="34">
        <v>9.1</v>
      </c>
      <c r="L10" s="34">
        <f t="shared" si="0"/>
        <v>109.19999999999999</v>
      </c>
      <c r="M10" s="34">
        <f t="shared" si="1"/>
        <v>128.31</v>
      </c>
      <c r="N10" s="34">
        <f t="shared" si="2"/>
        <v>182.31</v>
      </c>
      <c r="O10" s="77" t="s">
        <v>88</v>
      </c>
    </row>
    <row r="11" spans="1:15" ht="132.75" thickBot="1" x14ac:dyDescent="0.3">
      <c r="A11" s="19" t="s">
        <v>89</v>
      </c>
      <c r="B11" s="19" t="s">
        <v>4</v>
      </c>
      <c r="C11" s="34"/>
      <c r="D11" s="34"/>
      <c r="E11" s="34">
        <v>8.5</v>
      </c>
      <c r="F11" s="35">
        <v>1000</v>
      </c>
      <c r="G11" s="34"/>
      <c r="H11" s="38"/>
      <c r="I11" s="34">
        <f>D11 +(E11*12)</f>
        <v>102</v>
      </c>
      <c r="J11" s="34">
        <v>19.11</v>
      </c>
      <c r="K11" s="34">
        <v>9.1</v>
      </c>
      <c r="L11" s="34">
        <f t="shared" si="0"/>
        <v>109.19999999999999</v>
      </c>
      <c r="M11" s="34">
        <f t="shared" si="1"/>
        <v>128.31</v>
      </c>
      <c r="N11" s="34">
        <f t="shared" si="2"/>
        <v>230.31</v>
      </c>
      <c r="O11" s="77" t="s">
        <v>90</v>
      </c>
    </row>
    <row r="12" spans="1:15" s="16" customFormat="1" ht="123" customHeight="1" thickBot="1" x14ac:dyDescent="0.3">
      <c r="A12" s="27" t="s">
        <v>202</v>
      </c>
      <c r="B12" s="27" t="s">
        <v>5</v>
      </c>
      <c r="C12" s="28"/>
      <c r="D12" s="28"/>
      <c r="E12" s="28">
        <f>87.6-19.11-(9.1*8)</f>
        <v>-4.3100000000000023</v>
      </c>
      <c r="F12" s="29">
        <v>8000</v>
      </c>
      <c r="G12" s="28">
        <f>10.95-9.1</f>
        <v>1.8499999999999996</v>
      </c>
      <c r="H12" s="29">
        <v>8001</v>
      </c>
      <c r="I12" s="28">
        <f>(E12*8) +(G12*4)</f>
        <v>-27.08000000000002</v>
      </c>
      <c r="J12" s="28">
        <v>19.11</v>
      </c>
      <c r="K12" s="28">
        <v>9.1</v>
      </c>
      <c r="L12" s="28">
        <f t="shared" si="0"/>
        <v>109.19999999999999</v>
      </c>
      <c r="M12" s="28">
        <f t="shared" si="1"/>
        <v>128.31</v>
      </c>
      <c r="N12" s="28">
        <f t="shared" si="2"/>
        <v>101.22999999999999</v>
      </c>
      <c r="O12" s="75" t="s">
        <v>197</v>
      </c>
    </row>
    <row r="13" spans="1:15" s="23" customFormat="1" ht="75" customHeight="1" thickBot="1" x14ac:dyDescent="0.3">
      <c r="A13" s="39" t="s">
        <v>23</v>
      </c>
      <c r="B13" s="42" t="s">
        <v>4</v>
      </c>
      <c r="C13" s="40"/>
      <c r="D13" s="40">
        <f>19.11*0.5</f>
        <v>9.5549999999999997</v>
      </c>
      <c r="E13" s="40">
        <f>9.1*0.5</f>
        <v>4.55</v>
      </c>
      <c r="F13" s="41">
        <v>1000</v>
      </c>
      <c r="G13" s="40"/>
      <c r="H13" s="41"/>
      <c r="I13" s="40">
        <f>D13 +(E13*12)</f>
        <v>64.155000000000001</v>
      </c>
      <c r="J13" s="34">
        <v>19.11</v>
      </c>
      <c r="K13" s="34">
        <v>9.1</v>
      </c>
      <c r="L13" s="34">
        <f t="shared" si="0"/>
        <v>109.19999999999999</v>
      </c>
      <c r="M13" s="34">
        <f t="shared" si="1"/>
        <v>128.31</v>
      </c>
      <c r="N13" s="40">
        <f t="shared" si="2"/>
        <v>192.465</v>
      </c>
      <c r="O13" s="78" t="s">
        <v>118</v>
      </c>
    </row>
    <row r="14" spans="1:15" s="16" customFormat="1" ht="78" customHeight="1" thickBot="1" x14ac:dyDescent="0.3">
      <c r="A14" s="27" t="s">
        <v>95</v>
      </c>
      <c r="B14" s="27" t="s">
        <v>4</v>
      </c>
      <c r="C14" s="28"/>
      <c r="D14" s="28"/>
      <c r="E14" s="28">
        <v>5.7</v>
      </c>
      <c r="F14" s="29">
        <v>1000</v>
      </c>
      <c r="G14" s="28"/>
      <c r="H14" s="29"/>
      <c r="I14" s="28">
        <f>D14 +(E14*12)</f>
        <v>68.400000000000006</v>
      </c>
      <c r="J14" s="28">
        <v>19.11</v>
      </c>
      <c r="K14" s="28">
        <v>9.1</v>
      </c>
      <c r="L14" s="28">
        <f t="shared" si="0"/>
        <v>109.19999999999999</v>
      </c>
      <c r="M14" s="28">
        <f t="shared" si="1"/>
        <v>128.31</v>
      </c>
      <c r="N14" s="28">
        <f>I14+M14</f>
        <v>196.71</v>
      </c>
      <c r="O14" s="75" t="s">
        <v>92</v>
      </c>
    </row>
    <row r="15" spans="1:15" s="16" customFormat="1" ht="108.75" thickBot="1" x14ac:dyDescent="0.3">
      <c r="A15" s="27" t="s">
        <v>51</v>
      </c>
      <c r="B15" s="27" t="s">
        <v>5</v>
      </c>
      <c r="C15" s="28"/>
      <c r="D15" s="28"/>
      <c r="E15" s="28">
        <v>4.75</v>
      </c>
      <c r="F15" s="29">
        <v>1000</v>
      </c>
      <c r="G15" s="28"/>
      <c r="H15" s="29"/>
      <c r="I15" s="28">
        <f>D15 +(E15*12)</f>
        <v>57</v>
      </c>
      <c r="J15" s="28">
        <v>19.11</v>
      </c>
      <c r="K15" s="28">
        <v>9.1</v>
      </c>
      <c r="L15" s="28">
        <f t="shared" si="0"/>
        <v>109.19999999999999</v>
      </c>
      <c r="M15" s="28">
        <f t="shared" si="1"/>
        <v>128.31</v>
      </c>
      <c r="N15" s="28">
        <f t="shared" si="2"/>
        <v>185.31</v>
      </c>
      <c r="O15" s="75" t="s">
        <v>100</v>
      </c>
    </row>
    <row r="16" spans="1:15" ht="111" customHeight="1" thickBot="1" x14ac:dyDescent="0.3">
      <c r="A16" s="19" t="s">
        <v>101</v>
      </c>
      <c r="B16" s="19" t="s">
        <v>4</v>
      </c>
      <c r="C16" s="34"/>
      <c r="D16" s="34"/>
      <c r="E16" s="34">
        <f>13.64-9.1</f>
        <v>4.5400000000000009</v>
      </c>
      <c r="F16" s="35">
        <v>1000</v>
      </c>
      <c r="G16" s="34"/>
      <c r="H16" s="35"/>
      <c r="I16" s="34">
        <f>D16 +(E16*12)</f>
        <v>54.480000000000011</v>
      </c>
      <c r="J16" s="34">
        <v>19.11</v>
      </c>
      <c r="K16" s="34">
        <v>9.1</v>
      </c>
      <c r="L16" s="34">
        <f t="shared" si="0"/>
        <v>109.19999999999999</v>
      </c>
      <c r="M16" s="34">
        <f t="shared" si="1"/>
        <v>128.31</v>
      </c>
      <c r="N16" s="34">
        <f t="shared" si="2"/>
        <v>182.79000000000002</v>
      </c>
      <c r="O16" s="77" t="s">
        <v>102</v>
      </c>
    </row>
    <row r="17" spans="1:15" ht="60.75" customHeight="1" thickBot="1" x14ac:dyDescent="0.3">
      <c r="A17" s="27" t="s">
        <v>48</v>
      </c>
      <c r="B17" s="27" t="s">
        <v>4</v>
      </c>
      <c r="C17" s="28"/>
      <c r="D17" s="28"/>
      <c r="E17" s="28">
        <v>5.75</v>
      </c>
      <c r="F17" s="29">
        <v>1000</v>
      </c>
      <c r="G17" s="28"/>
      <c r="H17" s="29"/>
      <c r="I17" s="28">
        <f>D17 +(E17*12)</f>
        <v>69</v>
      </c>
      <c r="J17" s="28">
        <v>19.11</v>
      </c>
      <c r="K17" s="28">
        <v>9.1</v>
      </c>
      <c r="L17" s="28">
        <f t="shared" si="0"/>
        <v>109.19999999999999</v>
      </c>
      <c r="M17" s="28">
        <f t="shared" si="1"/>
        <v>128.31</v>
      </c>
      <c r="N17" s="28">
        <f t="shared" si="2"/>
        <v>197.31</v>
      </c>
      <c r="O17" s="75" t="s">
        <v>103</v>
      </c>
    </row>
    <row r="18" spans="1:15" ht="156.75" thickBot="1" x14ac:dyDescent="0.3">
      <c r="A18" s="19" t="s">
        <v>44</v>
      </c>
      <c r="B18" s="19" t="s">
        <v>5</v>
      </c>
      <c r="C18" s="34"/>
      <c r="D18" s="34"/>
      <c r="E18" s="34">
        <f>156.9-128.31</f>
        <v>28.590000000000003</v>
      </c>
      <c r="F18" s="35"/>
      <c r="G18" s="34"/>
      <c r="H18" s="35"/>
      <c r="I18" s="34">
        <f>E18</f>
        <v>28.590000000000003</v>
      </c>
      <c r="J18" s="34">
        <v>19.11</v>
      </c>
      <c r="K18" s="34">
        <v>9.1</v>
      </c>
      <c r="L18" s="34">
        <f t="shared" si="0"/>
        <v>109.19999999999999</v>
      </c>
      <c r="M18" s="34">
        <f t="shared" si="1"/>
        <v>128.31</v>
      </c>
      <c r="N18" s="34">
        <f t="shared" si="2"/>
        <v>156.9</v>
      </c>
      <c r="O18" s="77" t="s">
        <v>121</v>
      </c>
    </row>
    <row r="19" spans="1:15" ht="123.75" customHeight="1" thickBot="1" x14ac:dyDescent="0.3">
      <c r="A19" s="19" t="s">
        <v>119</v>
      </c>
      <c r="B19" s="19" t="s">
        <v>5</v>
      </c>
      <c r="C19" s="34"/>
      <c r="D19" s="34">
        <v>4.5</v>
      </c>
      <c r="E19" s="34">
        <f>91.8-19.11-(9.1*6)</f>
        <v>18.090000000000003</v>
      </c>
      <c r="F19" s="35">
        <v>6000</v>
      </c>
      <c r="G19" s="34">
        <f>15.3-9.1</f>
        <v>6.2000000000000011</v>
      </c>
      <c r="H19" s="35">
        <v>6001</v>
      </c>
      <c r="I19" s="34">
        <f>D19 +E19+(G19*6)</f>
        <v>59.790000000000006</v>
      </c>
      <c r="J19" s="34">
        <v>19.11</v>
      </c>
      <c r="K19" s="34">
        <v>9.1</v>
      </c>
      <c r="L19" s="34">
        <f t="shared" si="0"/>
        <v>109.19999999999999</v>
      </c>
      <c r="M19" s="34">
        <f t="shared" si="1"/>
        <v>128.31</v>
      </c>
      <c r="N19" s="34">
        <f>I19+M19</f>
        <v>188.10000000000002</v>
      </c>
      <c r="O19" s="77" t="s">
        <v>120</v>
      </c>
    </row>
    <row r="20" spans="1:15" s="16" customFormat="1" ht="116.25" customHeight="1" thickBot="1" x14ac:dyDescent="0.3">
      <c r="A20" s="19" t="s">
        <v>199</v>
      </c>
      <c r="B20" s="19" t="s">
        <v>4</v>
      </c>
      <c r="C20" s="34"/>
      <c r="D20" s="34">
        <f>8.33*3-19.11</f>
        <v>5.8800000000000026</v>
      </c>
      <c r="E20" s="34">
        <f>20.75-9.1</f>
        <v>11.65</v>
      </c>
      <c r="F20" s="35">
        <v>1000</v>
      </c>
      <c r="G20" s="34"/>
      <c r="H20" s="35"/>
      <c r="I20" s="34">
        <f>D20 +(E20*12)</f>
        <v>145.68</v>
      </c>
      <c r="J20" s="34">
        <v>19.11</v>
      </c>
      <c r="K20" s="34">
        <v>9.1</v>
      </c>
      <c r="L20" s="34">
        <f t="shared" si="0"/>
        <v>109.19999999999999</v>
      </c>
      <c r="M20" s="34">
        <f t="shared" si="1"/>
        <v>128.31</v>
      </c>
      <c r="N20" s="34">
        <f t="shared" si="2"/>
        <v>273.99</v>
      </c>
      <c r="O20" s="77" t="s">
        <v>104</v>
      </c>
    </row>
    <row r="21" spans="1:15" ht="180.75" thickBot="1" x14ac:dyDescent="0.3">
      <c r="A21" s="27" t="s">
        <v>66</v>
      </c>
      <c r="B21" s="27" t="s">
        <v>5</v>
      </c>
      <c r="C21" s="28"/>
      <c r="D21" s="43"/>
      <c r="E21" s="28">
        <f>91.73-(9.1*3)</f>
        <v>64.430000000000007</v>
      </c>
      <c r="F21" s="29">
        <v>3000</v>
      </c>
      <c r="G21" s="28">
        <f>8.92-9.1</f>
        <v>-0.17999999999999972</v>
      </c>
      <c r="H21" s="29">
        <v>3001</v>
      </c>
      <c r="I21" s="28">
        <f>(E21)+(G21*9)</f>
        <v>62.810000000000009</v>
      </c>
      <c r="J21" s="28">
        <v>19.11</v>
      </c>
      <c r="K21" s="28">
        <v>9.1</v>
      </c>
      <c r="L21" s="28">
        <f t="shared" si="0"/>
        <v>109.19999999999999</v>
      </c>
      <c r="M21" s="28">
        <f t="shared" si="1"/>
        <v>128.31</v>
      </c>
      <c r="N21" s="28">
        <f t="shared" si="2"/>
        <v>191.12</v>
      </c>
      <c r="O21" s="75" t="s">
        <v>105</v>
      </c>
    </row>
    <row r="22" spans="1:15" ht="96.75" thickBot="1" x14ac:dyDescent="0.3">
      <c r="A22" s="27" t="s">
        <v>49</v>
      </c>
      <c r="B22" s="27" t="s">
        <v>4</v>
      </c>
      <c r="C22" s="28">
        <v>0.83333999999999997</v>
      </c>
      <c r="D22" s="44"/>
      <c r="E22" s="28">
        <v>4.5</v>
      </c>
      <c r="F22" s="29">
        <v>1000</v>
      </c>
      <c r="G22" s="27"/>
      <c r="H22" s="29"/>
      <c r="I22" s="28">
        <f>(C22*3) +(E22*12)</f>
        <v>56.500019999999999</v>
      </c>
      <c r="J22" s="28">
        <v>19.11</v>
      </c>
      <c r="K22" s="28">
        <v>9.1</v>
      </c>
      <c r="L22" s="28">
        <f t="shared" si="0"/>
        <v>109.19999999999999</v>
      </c>
      <c r="M22" s="28">
        <f t="shared" si="1"/>
        <v>128.31</v>
      </c>
      <c r="N22" s="28">
        <f t="shared" si="2"/>
        <v>184.81002000000001</v>
      </c>
      <c r="O22" s="75" t="s">
        <v>106</v>
      </c>
    </row>
    <row r="23" spans="1:15" s="16" customFormat="1" ht="114" customHeight="1" thickBot="1" x14ac:dyDescent="0.3">
      <c r="A23" s="36" t="s">
        <v>11</v>
      </c>
      <c r="B23" s="45" t="s">
        <v>4</v>
      </c>
      <c r="C23" s="34"/>
      <c r="D23" s="34"/>
      <c r="E23" s="34">
        <f>8.51*3</f>
        <v>25.53</v>
      </c>
      <c r="F23" s="35">
        <v>3000</v>
      </c>
      <c r="G23" s="34">
        <v>7.64</v>
      </c>
      <c r="H23" s="35">
        <v>3001</v>
      </c>
      <c r="I23" s="34">
        <f>E23+(G23*9)</f>
        <v>94.289999999999992</v>
      </c>
      <c r="J23" s="34">
        <v>19.11</v>
      </c>
      <c r="K23" s="34">
        <v>9.1</v>
      </c>
      <c r="L23" s="34">
        <f t="shared" si="0"/>
        <v>109.19999999999999</v>
      </c>
      <c r="M23" s="34">
        <f t="shared" si="1"/>
        <v>128.31</v>
      </c>
      <c r="N23" s="34">
        <f t="shared" si="2"/>
        <v>222.6</v>
      </c>
      <c r="O23" s="67" t="s">
        <v>107</v>
      </c>
    </row>
    <row r="24" spans="1:15" s="16" customFormat="1" ht="112.5" customHeight="1" thickBot="1" x14ac:dyDescent="0.3">
      <c r="A24" s="19" t="s">
        <v>111</v>
      </c>
      <c r="B24" s="19" t="s">
        <v>4</v>
      </c>
      <c r="C24" s="34"/>
      <c r="D24" s="34"/>
      <c r="E24" s="34">
        <v>34</v>
      </c>
      <c r="F24" s="35">
        <v>1870</v>
      </c>
      <c r="G24" s="46">
        <v>5.62</v>
      </c>
      <c r="H24" s="35">
        <v>6390</v>
      </c>
      <c r="I24" s="34">
        <f>E24*3 + (G24*6.39)-128.31</f>
        <v>9.6017999999999972</v>
      </c>
      <c r="J24" s="34">
        <v>19.11</v>
      </c>
      <c r="K24" s="34">
        <v>9.1</v>
      </c>
      <c r="L24" s="34">
        <f t="shared" si="0"/>
        <v>109.19999999999999</v>
      </c>
      <c r="M24" s="34">
        <f t="shared" si="1"/>
        <v>128.31</v>
      </c>
      <c r="N24" s="34">
        <f>I24+M24</f>
        <v>137.9118</v>
      </c>
      <c r="O24" s="77" t="s">
        <v>108</v>
      </c>
    </row>
    <row r="25" spans="1:15" ht="101.25" customHeight="1" thickBot="1" x14ac:dyDescent="0.3">
      <c r="A25" s="19" t="s">
        <v>24</v>
      </c>
      <c r="B25" s="19" t="s">
        <v>4</v>
      </c>
      <c r="C25" s="34"/>
      <c r="D25" s="34">
        <f>(19.11*0.3)</f>
        <v>5.7329999999999997</v>
      </c>
      <c r="E25" s="34">
        <f>9.1*0.3</f>
        <v>2.73</v>
      </c>
      <c r="F25" s="35">
        <v>1000</v>
      </c>
      <c r="G25" s="19"/>
      <c r="H25" s="35"/>
      <c r="I25" s="34">
        <f>D25 +(E25*12)</f>
        <v>38.492999999999995</v>
      </c>
      <c r="J25" s="34">
        <v>19.11</v>
      </c>
      <c r="K25" s="34">
        <v>9.1</v>
      </c>
      <c r="L25" s="34">
        <f t="shared" si="0"/>
        <v>109.19999999999999</v>
      </c>
      <c r="M25" s="34">
        <f t="shared" si="1"/>
        <v>128.31</v>
      </c>
      <c r="N25" s="34">
        <f t="shared" si="2"/>
        <v>166.803</v>
      </c>
      <c r="O25" s="77" t="s">
        <v>203</v>
      </c>
    </row>
    <row r="26" spans="1:15" s="23" customFormat="1" ht="75" customHeight="1" thickBot="1" x14ac:dyDescent="0.3">
      <c r="A26" s="39" t="s">
        <v>45</v>
      </c>
      <c r="B26" s="39" t="s">
        <v>4</v>
      </c>
      <c r="C26" s="40" t="s">
        <v>10</v>
      </c>
      <c r="D26" s="40"/>
      <c r="E26" s="40">
        <v>3.5</v>
      </c>
      <c r="F26" s="41">
        <v>1000</v>
      </c>
      <c r="G26" s="47"/>
      <c r="H26" s="41"/>
      <c r="I26" s="40">
        <f>E26*12</f>
        <v>42</v>
      </c>
      <c r="J26" s="34">
        <v>19.11</v>
      </c>
      <c r="K26" s="34">
        <v>9.1</v>
      </c>
      <c r="L26" s="34">
        <f t="shared" si="0"/>
        <v>109.19999999999999</v>
      </c>
      <c r="M26" s="34">
        <f t="shared" si="1"/>
        <v>128.31</v>
      </c>
      <c r="N26" s="40">
        <f t="shared" si="2"/>
        <v>170.31</v>
      </c>
      <c r="O26" s="78" t="s">
        <v>110</v>
      </c>
    </row>
    <row r="27" spans="1:15" s="25" customFormat="1" ht="75" customHeight="1" thickBot="1" x14ac:dyDescent="0.3">
      <c r="A27" s="48" t="s">
        <v>56</v>
      </c>
      <c r="B27" s="48" t="s">
        <v>5</v>
      </c>
      <c r="C27" s="48"/>
      <c r="D27" s="34">
        <v>18</v>
      </c>
      <c r="E27" s="34">
        <f>6*6</f>
        <v>36</v>
      </c>
      <c r="F27" s="48">
        <v>6000</v>
      </c>
      <c r="G27" s="49">
        <v>6</v>
      </c>
      <c r="H27" s="48">
        <v>6001</v>
      </c>
      <c r="I27" s="34">
        <f>D27+ E27+G27*6</f>
        <v>90</v>
      </c>
      <c r="J27" s="34">
        <v>19.11</v>
      </c>
      <c r="K27" s="34">
        <v>9.1</v>
      </c>
      <c r="L27" s="34">
        <f t="shared" si="0"/>
        <v>109.19999999999999</v>
      </c>
      <c r="M27" s="48">
        <f t="shared" si="1"/>
        <v>128.31</v>
      </c>
      <c r="N27" s="50">
        <f t="shared" si="2"/>
        <v>218.31</v>
      </c>
      <c r="O27" s="79" t="s">
        <v>112</v>
      </c>
    </row>
    <row r="28" spans="1:15" s="24" customFormat="1" ht="81.75" customHeight="1" thickBot="1" x14ac:dyDescent="0.3">
      <c r="A28" s="51" t="s">
        <v>52</v>
      </c>
      <c r="B28" s="51" t="s">
        <v>4</v>
      </c>
      <c r="C28" s="51"/>
      <c r="D28" s="51"/>
      <c r="E28" s="51">
        <v>2.5</v>
      </c>
      <c r="F28" s="52">
        <v>1000</v>
      </c>
      <c r="G28" s="51"/>
      <c r="H28" s="51"/>
      <c r="I28" s="53">
        <f>D28 +(E28*12)</f>
        <v>30</v>
      </c>
      <c r="J28" s="34">
        <v>19.11</v>
      </c>
      <c r="K28" s="34">
        <v>9.1</v>
      </c>
      <c r="L28" s="34">
        <f t="shared" si="0"/>
        <v>109.19999999999999</v>
      </c>
      <c r="M28" s="53">
        <f t="shared" si="1"/>
        <v>128.31</v>
      </c>
      <c r="N28" s="53">
        <f t="shared" si="2"/>
        <v>158.31</v>
      </c>
      <c r="O28" s="80" t="s">
        <v>113</v>
      </c>
    </row>
    <row r="29" spans="1:15" ht="95.25" customHeight="1" thickBot="1" x14ac:dyDescent="0.3">
      <c r="A29" s="27" t="s">
        <v>200</v>
      </c>
      <c r="B29" s="27" t="s">
        <v>5</v>
      </c>
      <c r="C29" s="28"/>
      <c r="D29" s="28">
        <f>24.79-19.11</f>
        <v>5.68</v>
      </c>
      <c r="E29" s="28">
        <f>12.37-9.1</f>
        <v>3.2699999999999996</v>
      </c>
      <c r="F29" s="29">
        <v>1000</v>
      </c>
      <c r="G29" s="28"/>
      <c r="H29" s="29"/>
      <c r="I29" s="28">
        <f>D29 +(E29*12)</f>
        <v>44.919999999999995</v>
      </c>
      <c r="J29" s="28">
        <v>19.11</v>
      </c>
      <c r="K29" s="28">
        <v>9.1</v>
      </c>
      <c r="L29" s="28">
        <f t="shared" si="0"/>
        <v>109.19999999999999</v>
      </c>
      <c r="M29" s="28">
        <f t="shared" si="1"/>
        <v>128.31</v>
      </c>
      <c r="N29" s="28">
        <f t="shared" si="2"/>
        <v>173.23</v>
      </c>
      <c r="O29" s="75" t="s">
        <v>114</v>
      </c>
    </row>
    <row r="30" spans="1:15" ht="107.25" customHeight="1" thickBot="1" x14ac:dyDescent="0.3">
      <c r="A30" s="27" t="s">
        <v>17</v>
      </c>
      <c r="B30" s="27" t="s">
        <v>5</v>
      </c>
      <c r="C30" s="28"/>
      <c r="D30" s="28"/>
      <c r="E30" s="28">
        <f>139.92-19.11-(9.1*10)</f>
        <v>29.809999999999988</v>
      </c>
      <c r="F30" s="29">
        <v>10000</v>
      </c>
      <c r="G30" s="28">
        <v>1.5</v>
      </c>
      <c r="H30" s="29">
        <v>10001</v>
      </c>
      <c r="I30" s="28">
        <f>E30+(G30*2)</f>
        <v>32.809999999999988</v>
      </c>
      <c r="J30" s="28">
        <v>19.11</v>
      </c>
      <c r="K30" s="28">
        <v>9.1</v>
      </c>
      <c r="L30" s="28">
        <f t="shared" si="0"/>
        <v>109.19999999999999</v>
      </c>
      <c r="M30" s="28">
        <f t="shared" si="1"/>
        <v>128.31</v>
      </c>
      <c r="N30" s="28">
        <f t="shared" si="2"/>
        <v>161.12</v>
      </c>
      <c r="O30" s="75" t="s">
        <v>178</v>
      </c>
    </row>
    <row r="31" spans="1:15" ht="88.5" customHeight="1" thickBot="1" x14ac:dyDescent="0.3">
      <c r="A31" s="19" t="s">
        <v>47</v>
      </c>
      <c r="B31" s="51" t="s">
        <v>4</v>
      </c>
      <c r="C31" s="34"/>
      <c r="D31" s="34"/>
      <c r="E31" s="34">
        <v>5</v>
      </c>
      <c r="F31" s="35">
        <v>1000</v>
      </c>
      <c r="G31" s="34">
        <v>2.5</v>
      </c>
      <c r="H31" s="35">
        <v>2001</v>
      </c>
      <c r="I31" s="34">
        <f>D31 +E31 +(G31*11)</f>
        <v>32.5</v>
      </c>
      <c r="J31" s="34">
        <v>19.11</v>
      </c>
      <c r="K31" s="34">
        <v>9.1</v>
      </c>
      <c r="L31" s="34">
        <f t="shared" si="0"/>
        <v>109.19999999999999</v>
      </c>
      <c r="M31" s="34">
        <f t="shared" si="1"/>
        <v>128.31</v>
      </c>
      <c r="N31" s="34">
        <f t="shared" si="2"/>
        <v>160.81</v>
      </c>
      <c r="O31" s="77" t="s">
        <v>115</v>
      </c>
    </row>
    <row r="32" spans="1:15" ht="78" customHeight="1" thickBot="1" x14ac:dyDescent="0.3">
      <c r="A32" s="19" t="s">
        <v>201</v>
      </c>
      <c r="B32" s="51" t="s">
        <v>4</v>
      </c>
      <c r="C32" s="34"/>
      <c r="D32" s="34"/>
      <c r="E32" s="34">
        <v>1.75</v>
      </c>
      <c r="F32" s="35">
        <v>1000</v>
      </c>
      <c r="G32" s="19"/>
      <c r="H32" s="35"/>
      <c r="I32" s="34">
        <f>D32 +(E32*12)</f>
        <v>21</v>
      </c>
      <c r="J32" s="34">
        <v>19.11</v>
      </c>
      <c r="K32" s="34">
        <v>9.1</v>
      </c>
      <c r="L32" s="34">
        <f t="shared" si="0"/>
        <v>109.19999999999999</v>
      </c>
      <c r="M32" s="34">
        <f t="shared" si="1"/>
        <v>128.31</v>
      </c>
      <c r="N32" s="34">
        <f t="shared" si="2"/>
        <v>149.31</v>
      </c>
      <c r="O32" s="77" t="s">
        <v>116</v>
      </c>
    </row>
    <row r="33" spans="1:15" ht="71.25" customHeight="1" thickBot="1" x14ac:dyDescent="0.3">
      <c r="A33" s="19" t="s">
        <v>53</v>
      </c>
      <c r="B33" s="51" t="s">
        <v>4</v>
      </c>
      <c r="C33" s="34"/>
      <c r="D33" s="34"/>
      <c r="E33" s="34">
        <v>3</v>
      </c>
      <c r="F33" s="35">
        <v>1000</v>
      </c>
      <c r="G33" s="19"/>
      <c r="H33" s="35"/>
      <c r="I33" s="34">
        <f>D33 +(E33*12)</f>
        <v>36</v>
      </c>
      <c r="J33" s="34">
        <v>19.11</v>
      </c>
      <c r="K33" s="34">
        <v>9.1</v>
      </c>
      <c r="L33" s="34">
        <f t="shared" si="0"/>
        <v>109.19999999999999</v>
      </c>
      <c r="M33" s="34">
        <f t="shared" si="1"/>
        <v>128.31</v>
      </c>
      <c r="N33" s="34">
        <f t="shared" si="2"/>
        <v>164.31</v>
      </c>
      <c r="O33" s="77" t="s">
        <v>117</v>
      </c>
    </row>
    <row r="34" spans="1:15" x14ac:dyDescent="0.25">
      <c r="A34" s="6"/>
      <c r="B34" s="6"/>
      <c r="C34" s="6"/>
      <c r="D34" s="6"/>
      <c r="E34" s="6"/>
      <c r="F34" s="6"/>
      <c r="G34" s="6"/>
      <c r="H34" s="6"/>
      <c r="I34" s="6"/>
      <c r="J34" s="6"/>
      <c r="K34" s="6"/>
      <c r="L34" s="6"/>
      <c r="M34" s="6"/>
      <c r="N34" s="6"/>
      <c r="O34" s="70"/>
    </row>
    <row r="35" spans="1:15" ht="60" x14ac:dyDescent="0.25">
      <c r="A35" s="10" t="s">
        <v>12</v>
      </c>
      <c r="B35" s="10"/>
      <c r="C35" s="6" t="s">
        <v>96</v>
      </c>
      <c r="D35" s="6"/>
      <c r="E35" s="6"/>
      <c r="F35" s="6"/>
      <c r="G35" s="6"/>
      <c r="H35" s="6"/>
      <c r="I35" s="6"/>
      <c r="J35" s="6"/>
      <c r="K35" s="6"/>
      <c r="L35" s="6"/>
      <c r="M35" s="6"/>
      <c r="N35" s="6"/>
      <c r="O35" s="70" t="s">
        <v>73</v>
      </c>
    </row>
    <row r="36" spans="1:15" x14ac:dyDescent="0.25">
      <c r="A36" s="6"/>
      <c r="B36" s="6"/>
      <c r="C36" s="6"/>
      <c r="D36" s="6"/>
      <c r="E36" s="6"/>
      <c r="F36" s="6"/>
      <c r="G36" s="6"/>
      <c r="H36" s="6"/>
      <c r="I36" s="6"/>
      <c r="J36" s="6"/>
      <c r="K36" s="6"/>
      <c r="L36" s="6"/>
      <c r="M36" s="6"/>
      <c r="N36" s="6"/>
      <c r="O36" s="70"/>
    </row>
    <row r="37" spans="1:15" x14ac:dyDescent="0.25">
      <c r="A37" s="6"/>
      <c r="B37" s="6"/>
      <c r="C37" s="6" t="s">
        <v>97</v>
      </c>
      <c r="D37" s="6"/>
      <c r="E37" s="6"/>
      <c r="F37" s="6"/>
      <c r="G37" s="6"/>
      <c r="H37" s="6"/>
      <c r="I37" s="6"/>
      <c r="J37" s="6"/>
      <c r="K37" s="6"/>
      <c r="L37" s="6"/>
      <c r="M37" s="6"/>
      <c r="N37" s="6"/>
      <c r="O37" s="81"/>
    </row>
    <row r="38" spans="1:15" x14ac:dyDescent="0.25">
      <c r="A38" s="6"/>
      <c r="B38" s="6"/>
      <c r="C38" s="6"/>
      <c r="D38" s="6"/>
      <c r="E38" s="6"/>
      <c r="F38" s="6"/>
      <c r="G38" s="6"/>
      <c r="H38" s="6"/>
      <c r="I38" s="6"/>
      <c r="J38" s="6"/>
      <c r="K38" s="6"/>
      <c r="L38" s="6"/>
      <c r="M38" s="6"/>
      <c r="N38" s="6"/>
      <c r="O38" s="70"/>
    </row>
    <row r="39" spans="1:15" x14ac:dyDescent="0.25">
      <c r="C39" s="4" t="s">
        <v>109</v>
      </c>
    </row>
    <row r="41" spans="1:15" x14ac:dyDescent="0.25">
      <c r="C41" s="4" t="s">
        <v>87</v>
      </c>
    </row>
  </sheetData>
  <sheetProtection algorithmName="SHA-512" hashValue="Lp6Fn9P2wO3QTzalmGUXMMHiCQOpzafqV0EBAwtEQd9vpwVLYScDznKmDzPZLckL2I0c1EhG33Gy/qphwgGHTQ==" saltValue="+yVGjhW15PZ9oZIQRAKMIA==" spinCount="100000" sheet="1" formatCells="0" formatColumns="0" formatRows="0"/>
  <pageMargins left="0.7" right="0.7" top="0.75" bottom="0.75" header="0.3" footer="0.3"/>
  <pageSetup paperSize="17" scale="4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0"/>
  <sheetViews>
    <sheetView zoomScaleNormal="100" workbookViewId="0">
      <pane xSplit="2" topLeftCell="C1" activePane="topRight" state="frozen"/>
      <selection activeCell="A37" sqref="A37"/>
      <selection pane="topRight" activeCell="I2" sqref="I2"/>
    </sheetView>
  </sheetViews>
  <sheetFormatPr defaultColWidth="9.140625" defaultRowHeight="15" x14ac:dyDescent="0.25"/>
  <cols>
    <col min="1" max="1" width="21" style="4" customWidth="1"/>
    <col min="2" max="2" width="15.85546875" style="4" customWidth="1"/>
    <col min="3" max="3" width="11.5703125" style="4" customWidth="1"/>
    <col min="4" max="4" width="9.28515625" style="4" customWidth="1"/>
    <col min="5" max="7" width="9" style="4" customWidth="1"/>
    <col min="8" max="8" width="11.42578125" style="4" customWidth="1"/>
    <col min="9" max="9" width="19.85546875" style="4" customWidth="1"/>
    <col min="10" max="10" width="12.85546875" style="4" customWidth="1"/>
    <col min="11" max="11" width="11.7109375" style="4" customWidth="1"/>
    <col min="12" max="12" width="16.5703125" style="4" customWidth="1"/>
    <col min="13" max="13" width="17" style="4" customWidth="1"/>
    <col min="14" max="14" width="17.28515625" style="4" customWidth="1"/>
    <col min="15" max="15" width="63" style="62" hidden="1" customWidth="1"/>
    <col min="16" max="16384" width="9.140625" style="4"/>
  </cols>
  <sheetData>
    <row r="1" spans="1:15" ht="18.75" x14ac:dyDescent="0.3">
      <c r="A1" s="8" t="s">
        <v>85</v>
      </c>
    </row>
    <row r="2" spans="1:15" ht="15.75" x14ac:dyDescent="0.25">
      <c r="A2" s="9" t="s">
        <v>14</v>
      </c>
      <c r="D2" s="1"/>
    </row>
    <row r="3" spans="1:15" x14ac:dyDescent="0.25">
      <c r="A3" s="4" t="s">
        <v>37</v>
      </c>
      <c r="C3" s="1"/>
    </row>
    <row r="4" spans="1:15" x14ac:dyDescent="0.25">
      <c r="A4" s="4" t="s">
        <v>74</v>
      </c>
      <c r="D4" s="1"/>
      <c r="E4" s="1"/>
    </row>
    <row r="5" spans="1:15" ht="15.75" thickBot="1" x14ac:dyDescent="0.3">
      <c r="D5" s="1"/>
      <c r="E5" s="1"/>
    </row>
    <row r="6" spans="1:15" ht="45.75" customHeight="1" thickBot="1" x14ac:dyDescent="0.3">
      <c r="A6" s="18" t="s">
        <v>30</v>
      </c>
      <c r="B6" s="18" t="s">
        <v>91</v>
      </c>
      <c r="C6" s="19" t="s">
        <v>31</v>
      </c>
      <c r="D6" s="19"/>
      <c r="E6" s="19" t="s">
        <v>21</v>
      </c>
      <c r="F6" s="19"/>
      <c r="G6" s="19" t="s">
        <v>2</v>
      </c>
      <c r="H6" s="19"/>
      <c r="I6" s="18" t="s">
        <v>33</v>
      </c>
      <c r="J6" s="18" t="s">
        <v>26</v>
      </c>
      <c r="K6" s="18" t="s">
        <v>27</v>
      </c>
      <c r="L6" s="18" t="s">
        <v>3</v>
      </c>
      <c r="M6" s="18" t="s">
        <v>34</v>
      </c>
      <c r="N6" s="18" t="s">
        <v>39</v>
      </c>
      <c r="O6" s="63" t="s">
        <v>40</v>
      </c>
    </row>
    <row r="7" spans="1:15" ht="30.75" thickBot="1" x14ac:dyDescent="0.3">
      <c r="A7" s="21"/>
      <c r="B7" s="21"/>
      <c r="C7" s="19" t="s">
        <v>4</v>
      </c>
      <c r="D7" s="19" t="s">
        <v>5</v>
      </c>
      <c r="E7" s="19" t="s">
        <v>6</v>
      </c>
      <c r="F7" s="19" t="s">
        <v>7</v>
      </c>
      <c r="G7" s="19" t="s">
        <v>6</v>
      </c>
      <c r="H7" s="19" t="s">
        <v>8</v>
      </c>
      <c r="I7" s="22" t="s">
        <v>77</v>
      </c>
      <c r="J7" s="22" t="s">
        <v>9</v>
      </c>
      <c r="K7" s="22" t="s">
        <v>28</v>
      </c>
      <c r="L7" s="22" t="s">
        <v>75</v>
      </c>
      <c r="M7" s="22" t="s">
        <v>75</v>
      </c>
      <c r="N7" s="22" t="s">
        <v>75</v>
      </c>
      <c r="O7" s="64"/>
    </row>
    <row r="8" spans="1:15" s="16" customFormat="1" ht="80.25" customHeight="1" thickBot="1" x14ac:dyDescent="0.3">
      <c r="A8" s="57" t="s">
        <v>204</v>
      </c>
      <c r="B8" s="21" t="s">
        <v>4</v>
      </c>
      <c r="C8" s="34">
        <f>14.75-(17.86/3)</f>
        <v>8.7966666666666669</v>
      </c>
      <c r="D8" s="34"/>
      <c r="E8" s="34">
        <f>12.52-8.5</f>
        <v>4.0199999999999996</v>
      </c>
      <c r="F8" s="35">
        <v>1000</v>
      </c>
      <c r="G8" s="34"/>
      <c r="H8" s="35"/>
      <c r="I8" s="34">
        <f>(C8*3)+(E8*12)</f>
        <v>74.63</v>
      </c>
      <c r="J8" s="34">
        <v>19.11</v>
      </c>
      <c r="K8" s="34">
        <v>9.1</v>
      </c>
      <c r="L8" s="34">
        <f>K8*12</f>
        <v>109.19999999999999</v>
      </c>
      <c r="M8" s="34">
        <f>J8+L8</f>
        <v>128.31</v>
      </c>
      <c r="N8" s="34">
        <f>I8+M8</f>
        <v>202.94</v>
      </c>
      <c r="O8" s="65" t="s">
        <v>122</v>
      </c>
    </row>
    <row r="9" spans="1:15" ht="51" customHeight="1" thickBot="1" x14ac:dyDescent="0.3">
      <c r="A9" s="36" t="s">
        <v>188</v>
      </c>
      <c r="B9" s="19" t="s">
        <v>4</v>
      </c>
      <c r="C9" s="34"/>
      <c r="D9" s="34"/>
      <c r="E9" s="34">
        <f>14-8.5</f>
        <v>5.5</v>
      </c>
      <c r="F9" s="35">
        <v>1000</v>
      </c>
      <c r="G9" s="34"/>
      <c r="H9" s="35"/>
      <c r="I9" s="34">
        <f>(C9*3)+(E9*12)</f>
        <v>66</v>
      </c>
      <c r="J9" s="34">
        <v>19.11</v>
      </c>
      <c r="K9" s="34">
        <v>9.1</v>
      </c>
      <c r="L9" s="34">
        <f t="shared" ref="L9:L43" si="0">K9*12</f>
        <v>109.19999999999999</v>
      </c>
      <c r="M9" s="34">
        <f t="shared" ref="M9:M43" si="1">J9+L9</f>
        <v>128.31</v>
      </c>
      <c r="N9" s="34">
        <f t="shared" ref="N9:N43" si="2">I9+M9</f>
        <v>194.31</v>
      </c>
      <c r="O9" s="65" t="s">
        <v>187</v>
      </c>
    </row>
    <row r="10" spans="1:15" ht="87" customHeight="1" thickBot="1" x14ac:dyDescent="0.3">
      <c r="A10" s="36" t="s">
        <v>41</v>
      </c>
      <c r="B10" s="19" t="s">
        <v>4</v>
      </c>
      <c r="C10" s="34">
        <f>15-(19.11/3)</f>
        <v>8.629999999999999</v>
      </c>
      <c r="D10" s="34" t="s">
        <v>10</v>
      </c>
      <c r="E10" s="34">
        <f>9-9.1</f>
        <v>-9.9999999999999645E-2</v>
      </c>
      <c r="F10" s="35">
        <v>1000</v>
      </c>
      <c r="G10" s="34"/>
      <c r="H10" s="35"/>
      <c r="I10" s="34">
        <f>(C10*3)+(E10*12)</f>
        <v>24.69</v>
      </c>
      <c r="J10" s="34">
        <v>19.11</v>
      </c>
      <c r="K10" s="34">
        <v>9.1</v>
      </c>
      <c r="L10" s="34">
        <f t="shared" si="0"/>
        <v>109.19999999999999</v>
      </c>
      <c r="M10" s="34">
        <f t="shared" si="1"/>
        <v>128.31</v>
      </c>
      <c r="N10" s="34">
        <f>I10+M10</f>
        <v>153</v>
      </c>
      <c r="O10" s="65" t="s">
        <v>126</v>
      </c>
    </row>
    <row r="11" spans="1:15" ht="105.75" customHeight="1" thickBot="1" x14ac:dyDescent="0.3">
      <c r="A11" s="36" t="s">
        <v>59</v>
      </c>
      <c r="B11" s="19" t="s">
        <v>4</v>
      </c>
      <c r="C11" s="34">
        <f>10.94-(19.11/3)</f>
        <v>4.5699999999999994</v>
      </c>
      <c r="D11" s="34"/>
      <c r="E11" s="34">
        <f>18.01-9.1</f>
        <v>8.9100000000000019</v>
      </c>
      <c r="F11" s="35">
        <v>1000</v>
      </c>
      <c r="G11" s="34"/>
      <c r="H11" s="35"/>
      <c r="I11" s="34">
        <f>(C11*3)+(E11*12)</f>
        <v>120.63000000000001</v>
      </c>
      <c r="J11" s="34">
        <v>19.11</v>
      </c>
      <c r="K11" s="34">
        <v>9.1</v>
      </c>
      <c r="L11" s="34">
        <f t="shared" si="0"/>
        <v>109.19999999999999</v>
      </c>
      <c r="M11" s="34">
        <f t="shared" si="1"/>
        <v>128.31</v>
      </c>
      <c r="N11" s="34">
        <f t="shared" si="2"/>
        <v>248.94</v>
      </c>
      <c r="O11" s="65" t="s">
        <v>127</v>
      </c>
    </row>
    <row r="12" spans="1:15" ht="90.75" customHeight="1" thickBot="1" x14ac:dyDescent="0.3">
      <c r="A12" s="36" t="s">
        <v>123</v>
      </c>
      <c r="B12" s="19" t="s">
        <v>4</v>
      </c>
      <c r="C12" s="34"/>
      <c r="D12" s="34" t="s">
        <v>10</v>
      </c>
      <c r="E12" s="34">
        <v>6.73</v>
      </c>
      <c r="F12" s="35">
        <v>1000</v>
      </c>
      <c r="G12" s="34"/>
      <c r="H12" s="35"/>
      <c r="I12" s="34">
        <f>(C12*3)+(E12*12)</f>
        <v>80.760000000000005</v>
      </c>
      <c r="J12" s="34">
        <v>19.11</v>
      </c>
      <c r="K12" s="34">
        <v>9.1</v>
      </c>
      <c r="L12" s="34">
        <f t="shared" si="0"/>
        <v>109.19999999999999</v>
      </c>
      <c r="M12" s="34">
        <f t="shared" si="1"/>
        <v>128.31</v>
      </c>
      <c r="N12" s="34">
        <f t="shared" si="2"/>
        <v>209.07</v>
      </c>
      <c r="O12" s="65" t="s">
        <v>124</v>
      </c>
    </row>
    <row r="13" spans="1:15" ht="93" customHeight="1" thickBot="1" x14ac:dyDescent="0.3">
      <c r="A13" s="36" t="s">
        <v>212</v>
      </c>
      <c r="B13" s="19" t="s">
        <v>4</v>
      </c>
      <c r="C13" s="34"/>
      <c r="D13" s="34"/>
      <c r="E13" s="34">
        <f>15.35-9.1</f>
        <v>6.25</v>
      </c>
      <c r="F13" s="35">
        <v>1000</v>
      </c>
      <c r="G13" s="34"/>
      <c r="H13" s="35"/>
      <c r="I13" s="34">
        <f t="shared" ref="I13:I19" si="3">(C13*3)+(E13*12)</f>
        <v>75</v>
      </c>
      <c r="J13" s="34">
        <v>19.11</v>
      </c>
      <c r="K13" s="34">
        <v>9.1</v>
      </c>
      <c r="L13" s="34">
        <f t="shared" si="0"/>
        <v>109.19999999999999</v>
      </c>
      <c r="M13" s="34">
        <f t="shared" si="1"/>
        <v>128.31</v>
      </c>
      <c r="N13" s="34">
        <f t="shared" si="2"/>
        <v>203.31</v>
      </c>
      <c r="O13" s="65" t="s">
        <v>181</v>
      </c>
    </row>
    <row r="14" spans="1:15" ht="101.25" customHeight="1" thickBot="1" x14ac:dyDescent="0.3">
      <c r="A14" s="36" t="s">
        <v>19</v>
      </c>
      <c r="B14" s="19" t="s">
        <v>4</v>
      </c>
      <c r="C14" s="34"/>
      <c r="D14" s="34" t="s">
        <v>10</v>
      </c>
      <c r="E14" s="34">
        <v>8.08</v>
      </c>
      <c r="F14" s="35">
        <v>1000</v>
      </c>
      <c r="G14" s="34"/>
      <c r="H14" s="35"/>
      <c r="I14" s="34">
        <f t="shared" si="3"/>
        <v>96.960000000000008</v>
      </c>
      <c r="J14" s="34">
        <v>19.11</v>
      </c>
      <c r="K14" s="34">
        <v>9.1</v>
      </c>
      <c r="L14" s="34">
        <f t="shared" si="0"/>
        <v>109.19999999999999</v>
      </c>
      <c r="M14" s="34">
        <f t="shared" si="1"/>
        <v>128.31</v>
      </c>
      <c r="N14" s="34">
        <f t="shared" si="2"/>
        <v>225.27</v>
      </c>
      <c r="O14" s="65" t="s">
        <v>125</v>
      </c>
    </row>
    <row r="15" spans="1:15" ht="72" customHeight="1" thickBot="1" x14ac:dyDescent="0.3">
      <c r="A15" s="36" t="s">
        <v>176</v>
      </c>
      <c r="B15" s="19" t="s">
        <v>4</v>
      </c>
      <c r="C15" s="34">
        <f>7.06-(19.11/3)</f>
        <v>0.6899999999999995</v>
      </c>
      <c r="D15" s="19"/>
      <c r="E15" s="34">
        <f>14.18-9.1</f>
        <v>5.08</v>
      </c>
      <c r="F15" s="35">
        <v>1000</v>
      </c>
      <c r="G15" s="34"/>
      <c r="H15" s="35"/>
      <c r="I15" s="34">
        <f t="shared" si="3"/>
        <v>63.03</v>
      </c>
      <c r="J15" s="34">
        <v>19.11</v>
      </c>
      <c r="K15" s="34">
        <v>9.1</v>
      </c>
      <c r="L15" s="34">
        <f t="shared" si="0"/>
        <v>109.19999999999999</v>
      </c>
      <c r="M15" s="34">
        <f t="shared" si="1"/>
        <v>128.31</v>
      </c>
      <c r="N15" s="34">
        <f t="shared" si="2"/>
        <v>191.34</v>
      </c>
      <c r="O15" s="65" t="s">
        <v>175</v>
      </c>
    </row>
    <row r="16" spans="1:15" ht="62.25" customHeight="1" thickBot="1" x14ac:dyDescent="0.3">
      <c r="A16" s="36" t="s">
        <v>61</v>
      </c>
      <c r="B16" s="19" t="s">
        <v>4</v>
      </c>
      <c r="C16" s="34">
        <v>2.25</v>
      </c>
      <c r="D16" s="34" t="s">
        <v>10</v>
      </c>
      <c r="E16" s="34">
        <v>8.4</v>
      </c>
      <c r="F16" s="35">
        <v>1000</v>
      </c>
      <c r="G16" s="34"/>
      <c r="H16" s="35"/>
      <c r="I16" s="34">
        <f t="shared" si="3"/>
        <v>107.55000000000001</v>
      </c>
      <c r="J16" s="34">
        <v>19.11</v>
      </c>
      <c r="K16" s="34">
        <v>9.1</v>
      </c>
      <c r="L16" s="34">
        <f t="shared" si="0"/>
        <v>109.19999999999999</v>
      </c>
      <c r="M16" s="34">
        <f t="shared" si="1"/>
        <v>128.31</v>
      </c>
      <c r="N16" s="34">
        <f t="shared" si="2"/>
        <v>235.86</v>
      </c>
      <c r="O16" s="65" t="s">
        <v>128</v>
      </c>
    </row>
    <row r="17" spans="1:15" ht="69" customHeight="1" thickBot="1" x14ac:dyDescent="0.3">
      <c r="A17" s="60" t="s">
        <v>69</v>
      </c>
      <c r="B17" s="27" t="s">
        <v>4</v>
      </c>
      <c r="C17" s="28"/>
      <c r="D17" s="28" t="s">
        <v>10</v>
      </c>
      <c r="E17" s="28">
        <f>13.6-9.1</f>
        <v>4.5</v>
      </c>
      <c r="F17" s="29">
        <v>1000</v>
      </c>
      <c r="G17" s="28"/>
      <c r="H17" s="29"/>
      <c r="I17" s="28">
        <f t="shared" si="3"/>
        <v>54</v>
      </c>
      <c r="J17" s="28">
        <v>19.11</v>
      </c>
      <c r="K17" s="28">
        <v>9.1</v>
      </c>
      <c r="L17" s="28">
        <f t="shared" si="0"/>
        <v>109.19999999999999</v>
      </c>
      <c r="M17" s="28">
        <f t="shared" si="1"/>
        <v>128.31</v>
      </c>
      <c r="N17" s="28">
        <f t="shared" si="2"/>
        <v>182.31</v>
      </c>
      <c r="O17" s="66" t="s">
        <v>189</v>
      </c>
    </row>
    <row r="18" spans="1:15" ht="55.5" customHeight="1" thickBot="1" x14ac:dyDescent="0.3">
      <c r="A18" s="36" t="s">
        <v>62</v>
      </c>
      <c r="B18" s="19" t="s">
        <v>4</v>
      </c>
      <c r="C18" s="34"/>
      <c r="D18" s="34" t="s">
        <v>10</v>
      </c>
      <c r="E18" s="34">
        <v>5</v>
      </c>
      <c r="F18" s="35">
        <v>1000</v>
      </c>
      <c r="G18" s="34"/>
      <c r="H18" s="35"/>
      <c r="I18" s="34">
        <f t="shared" si="3"/>
        <v>60</v>
      </c>
      <c r="J18" s="34">
        <v>19.11</v>
      </c>
      <c r="K18" s="34">
        <v>9.1</v>
      </c>
      <c r="L18" s="34">
        <f t="shared" si="0"/>
        <v>109.19999999999999</v>
      </c>
      <c r="M18" s="34">
        <f t="shared" si="1"/>
        <v>128.31</v>
      </c>
      <c r="N18" s="34">
        <f t="shared" si="2"/>
        <v>188.31</v>
      </c>
      <c r="O18" s="65" t="s">
        <v>132</v>
      </c>
    </row>
    <row r="19" spans="1:15" ht="69.75" customHeight="1" thickBot="1" x14ac:dyDescent="0.3">
      <c r="A19" s="36" t="s">
        <v>63</v>
      </c>
      <c r="B19" s="19" t="s">
        <v>4</v>
      </c>
      <c r="C19" s="34">
        <v>5.48</v>
      </c>
      <c r="D19" s="34"/>
      <c r="E19" s="34">
        <f>8.62</f>
        <v>8.6199999999999992</v>
      </c>
      <c r="F19" s="35">
        <v>1000</v>
      </c>
      <c r="G19" s="34"/>
      <c r="H19" s="35"/>
      <c r="I19" s="34">
        <f t="shared" si="3"/>
        <v>119.88</v>
      </c>
      <c r="J19" s="34">
        <v>19.11</v>
      </c>
      <c r="K19" s="34">
        <v>9.1</v>
      </c>
      <c r="L19" s="34">
        <f t="shared" si="0"/>
        <v>109.19999999999999</v>
      </c>
      <c r="M19" s="34">
        <f t="shared" si="1"/>
        <v>128.31</v>
      </c>
      <c r="N19" s="34">
        <f t="shared" si="2"/>
        <v>248.19</v>
      </c>
      <c r="O19" s="65" t="s">
        <v>129</v>
      </c>
    </row>
    <row r="20" spans="1:15" ht="99.75" customHeight="1" thickBot="1" x14ac:dyDescent="0.3">
      <c r="A20" s="58" t="s">
        <v>84</v>
      </c>
      <c r="B20" s="19" t="s">
        <v>4</v>
      </c>
      <c r="C20" s="34">
        <f>9.67-6.37</f>
        <v>3.3</v>
      </c>
      <c r="D20" s="34" t="s">
        <v>10</v>
      </c>
      <c r="E20" s="34">
        <f>12.44-9.1</f>
        <v>3.34</v>
      </c>
      <c r="F20" s="35">
        <v>1000</v>
      </c>
      <c r="G20" s="34"/>
      <c r="H20" s="35"/>
      <c r="I20" s="34">
        <f>(C20*3)+(E20*12)</f>
        <v>49.98</v>
      </c>
      <c r="J20" s="34">
        <v>19.11</v>
      </c>
      <c r="K20" s="34">
        <v>9.1</v>
      </c>
      <c r="L20" s="34">
        <f t="shared" si="0"/>
        <v>109.19999999999999</v>
      </c>
      <c r="M20" s="34">
        <f t="shared" si="1"/>
        <v>128.31</v>
      </c>
      <c r="N20" s="34">
        <f t="shared" si="2"/>
        <v>178.29</v>
      </c>
      <c r="O20" s="65" t="s">
        <v>133</v>
      </c>
    </row>
    <row r="21" spans="1:15" ht="78" customHeight="1" thickBot="1" x14ac:dyDescent="0.3">
      <c r="A21" s="36" t="s">
        <v>213</v>
      </c>
      <c r="B21" s="19" t="s">
        <v>4</v>
      </c>
      <c r="C21" s="34">
        <v>0.37</v>
      </c>
      <c r="D21" s="34"/>
      <c r="E21" s="34">
        <v>4</v>
      </c>
      <c r="F21" s="35">
        <v>1000</v>
      </c>
      <c r="G21" s="34"/>
      <c r="H21" s="35"/>
      <c r="I21" s="34">
        <f>(C21*3)+(E21*12)</f>
        <v>49.11</v>
      </c>
      <c r="J21" s="34">
        <v>19.11</v>
      </c>
      <c r="K21" s="34">
        <v>9.1</v>
      </c>
      <c r="L21" s="34">
        <f t="shared" si="0"/>
        <v>109.19999999999999</v>
      </c>
      <c r="M21" s="34">
        <f t="shared" si="1"/>
        <v>128.31</v>
      </c>
      <c r="N21" s="34">
        <f t="shared" si="2"/>
        <v>177.42000000000002</v>
      </c>
      <c r="O21" s="65" t="s">
        <v>180</v>
      </c>
    </row>
    <row r="22" spans="1:15" ht="69.75" customHeight="1" thickBot="1" x14ac:dyDescent="0.3">
      <c r="A22" s="36" t="s">
        <v>16</v>
      </c>
      <c r="B22" s="19" t="s">
        <v>5</v>
      </c>
      <c r="C22" s="34"/>
      <c r="D22" s="34"/>
      <c r="E22" s="34">
        <f>78.12-(9.1*7)</f>
        <v>14.420000000000009</v>
      </c>
      <c r="F22" s="35">
        <v>7000</v>
      </c>
      <c r="G22" s="34">
        <f>11.16-9.1</f>
        <v>2.0600000000000005</v>
      </c>
      <c r="H22" s="35">
        <v>8001</v>
      </c>
      <c r="I22" s="34">
        <f>(C22*3)+(E22)+(G22*5)</f>
        <v>24.720000000000013</v>
      </c>
      <c r="J22" s="34">
        <v>19.11</v>
      </c>
      <c r="K22" s="34">
        <v>9.1</v>
      </c>
      <c r="L22" s="34">
        <f t="shared" si="0"/>
        <v>109.19999999999999</v>
      </c>
      <c r="M22" s="34">
        <f t="shared" si="1"/>
        <v>128.31</v>
      </c>
      <c r="N22" s="34">
        <f t="shared" si="2"/>
        <v>153.03000000000003</v>
      </c>
      <c r="O22" s="65" t="s">
        <v>191</v>
      </c>
    </row>
    <row r="23" spans="1:15" s="16" customFormat="1" ht="87.75" customHeight="1" thickBot="1" x14ac:dyDescent="0.3">
      <c r="A23" s="36" t="s">
        <v>81</v>
      </c>
      <c r="B23" s="19" t="s">
        <v>4</v>
      </c>
      <c r="C23" s="34">
        <f>24.7-(19.11/3)</f>
        <v>18.329999999999998</v>
      </c>
      <c r="D23" s="34" t="s">
        <v>10</v>
      </c>
      <c r="E23" s="34">
        <f>13.9-9.1</f>
        <v>4.8000000000000007</v>
      </c>
      <c r="F23" s="35">
        <v>1000</v>
      </c>
      <c r="G23" s="34"/>
      <c r="H23" s="35"/>
      <c r="I23" s="34">
        <f>(C23*3)+(E23*12)</f>
        <v>112.59</v>
      </c>
      <c r="J23" s="34">
        <v>19.11</v>
      </c>
      <c r="K23" s="34">
        <v>9.1</v>
      </c>
      <c r="L23" s="34">
        <f t="shared" si="0"/>
        <v>109.19999999999999</v>
      </c>
      <c r="M23" s="34">
        <f t="shared" si="1"/>
        <v>128.31</v>
      </c>
      <c r="N23" s="34">
        <f t="shared" si="2"/>
        <v>240.9</v>
      </c>
      <c r="O23" s="65" t="s">
        <v>214</v>
      </c>
    </row>
    <row r="24" spans="1:15" ht="62.25" customHeight="1" thickBot="1" x14ac:dyDescent="0.3">
      <c r="A24" s="36" t="s">
        <v>60</v>
      </c>
      <c r="B24" s="19" t="s">
        <v>5</v>
      </c>
      <c r="C24" s="34"/>
      <c r="D24" s="34">
        <v>1</v>
      </c>
      <c r="E24" s="34">
        <v>4.32</v>
      </c>
      <c r="F24" s="35">
        <v>1000</v>
      </c>
      <c r="G24" s="34"/>
      <c r="H24" s="35"/>
      <c r="I24" s="34">
        <f>(D24)+(E24*12)</f>
        <v>52.84</v>
      </c>
      <c r="J24" s="34">
        <v>19.11</v>
      </c>
      <c r="K24" s="34">
        <v>9.1</v>
      </c>
      <c r="L24" s="34">
        <f t="shared" si="0"/>
        <v>109.19999999999999</v>
      </c>
      <c r="M24" s="34">
        <f t="shared" si="1"/>
        <v>128.31</v>
      </c>
      <c r="N24" s="34">
        <f t="shared" si="2"/>
        <v>181.15</v>
      </c>
      <c r="O24" s="65" t="s">
        <v>215</v>
      </c>
    </row>
    <row r="25" spans="1:15" ht="48" customHeight="1" thickBot="1" x14ac:dyDescent="0.3">
      <c r="A25" s="36" t="s">
        <v>64</v>
      </c>
      <c r="B25" s="19" t="s">
        <v>4</v>
      </c>
      <c r="C25" s="34"/>
      <c r="D25" s="34" t="s">
        <v>10</v>
      </c>
      <c r="E25" s="34">
        <v>4.05</v>
      </c>
      <c r="F25" s="35">
        <v>1000</v>
      </c>
      <c r="G25" s="34"/>
      <c r="H25" s="35"/>
      <c r="I25" s="34">
        <f>(C25*3)+(E25*12)</f>
        <v>48.599999999999994</v>
      </c>
      <c r="J25" s="34">
        <v>19.11</v>
      </c>
      <c r="K25" s="34">
        <v>9.1</v>
      </c>
      <c r="L25" s="34">
        <f t="shared" si="0"/>
        <v>109.19999999999999</v>
      </c>
      <c r="M25" s="34">
        <f t="shared" si="1"/>
        <v>128.31</v>
      </c>
      <c r="N25" s="34">
        <f t="shared" si="2"/>
        <v>176.91</v>
      </c>
      <c r="O25" s="65" t="s">
        <v>130</v>
      </c>
    </row>
    <row r="26" spans="1:15" ht="42.75" customHeight="1" thickBot="1" x14ac:dyDescent="0.3">
      <c r="A26" s="36" t="s">
        <v>55</v>
      </c>
      <c r="B26" s="19" t="s">
        <v>4</v>
      </c>
      <c r="C26" s="34"/>
      <c r="D26" s="34" t="s">
        <v>10</v>
      </c>
      <c r="E26" s="34">
        <v>7.12</v>
      </c>
      <c r="F26" s="35">
        <v>1000</v>
      </c>
      <c r="G26" s="34"/>
      <c r="H26" s="35"/>
      <c r="I26" s="34">
        <f>(C26*3)+(E26*12)</f>
        <v>85.44</v>
      </c>
      <c r="J26" s="34">
        <v>19.11</v>
      </c>
      <c r="K26" s="34">
        <v>9.1</v>
      </c>
      <c r="L26" s="34">
        <f t="shared" si="0"/>
        <v>109.19999999999999</v>
      </c>
      <c r="M26" s="34">
        <f t="shared" si="1"/>
        <v>128.31</v>
      </c>
      <c r="N26" s="34">
        <f t="shared" si="2"/>
        <v>213.75</v>
      </c>
      <c r="O26" s="65" t="s">
        <v>131</v>
      </c>
    </row>
    <row r="27" spans="1:15" s="16" customFormat="1" ht="53.25" customHeight="1" thickBot="1" x14ac:dyDescent="0.3">
      <c r="A27" s="36" t="s">
        <v>216</v>
      </c>
      <c r="B27" s="19" t="s">
        <v>4</v>
      </c>
      <c r="C27" s="34">
        <f>17-(19.11/3)</f>
        <v>10.629999999999999</v>
      </c>
      <c r="D27" s="34"/>
      <c r="E27" s="34">
        <f>12.5-9.1</f>
        <v>3.4000000000000004</v>
      </c>
      <c r="F27" s="35">
        <v>1000</v>
      </c>
      <c r="G27" s="34"/>
      <c r="H27" s="35"/>
      <c r="I27" s="34">
        <f>(C27*3)+(E27*12)</f>
        <v>72.69</v>
      </c>
      <c r="J27" s="34">
        <v>19.11</v>
      </c>
      <c r="K27" s="34">
        <v>9.1</v>
      </c>
      <c r="L27" s="34">
        <f t="shared" si="0"/>
        <v>109.19999999999999</v>
      </c>
      <c r="M27" s="34">
        <f t="shared" si="1"/>
        <v>128.31</v>
      </c>
      <c r="N27" s="34">
        <f t="shared" si="2"/>
        <v>201</v>
      </c>
      <c r="O27" s="65" t="s">
        <v>136</v>
      </c>
    </row>
    <row r="28" spans="1:15" ht="74.25" customHeight="1" thickBot="1" x14ac:dyDescent="0.3">
      <c r="A28" s="36" t="s">
        <v>217</v>
      </c>
      <c r="B28" s="19" t="s">
        <v>4</v>
      </c>
      <c r="C28" s="34"/>
      <c r="D28" s="34"/>
      <c r="E28" s="34">
        <f>23-(19.11/3)-(9.1*3)</f>
        <v>-10.669999999999998</v>
      </c>
      <c r="F28" s="35">
        <v>3000</v>
      </c>
      <c r="G28" s="34">
        <f>9-9.1</f>
        <v>-9.9999999999999645E-2</v>
      </c>
      <c r="H28" s="35">
        <v>3000</v>
      </c>
      <c r="I28" s="34">
        <f>(E28*3)+(G28*3)</f>
        <v>-32.309999999999988</v>
      </c>
      <c r="J28" s="34">
        <v>19.11</v>
      </c>
      <c r="K28" s="34">
        <v>9.1</v>
      </c>
      <c r="L28" s="34">
        <f t="shared" si="0"/>
        <v>109.19999999999999</v>
      </c>
      <c r="M28" s="34">
        <f t="shared" si="1"/>
        <v>128.31</v>
      </c>
      <c r="N28" s="34">
        <f t="shared" si="2"/>
        <v>96.000000000000014</v>
      </c>
      <c r="O28" s="65" t="s">
        <v>198</v>
      </c>
    </row>
    <row r="29" spans="1:15" ht="100.5" customHeight="1" thickBot="1" x14ac:dyDescent="0.3">
      <c r="A29" s="36" t="s">
        <v>135</v>
      </c>
      <c r="B29" s="19" t="s">
        <v>4</v>
      </c>
      <c r="C29" s="34"/>
      <c r="D29" s="34" t="s">
        <v>10</v>
      </c>
      <c r="E29" s="34">
        <f>(34.2-6.37-9.1)*3</f>
        <v>56.190000000000012</v>
      </c>
      <c r="F29" s="35">
        <v>1000</v>
      </c>
      <c r="G29" s="34">
        <f>15.9-9.1</f>
        <v>6.8000000000000007</v>
      </c>
      <c r="H29" s="35">
        <v>2001</v>
      </c>
      <c r="I29" s="34">
        <f>(E29)*3+(G29*9)</f>
        <v>229.77000000000004</v>
      </c>
      <c r="J29" s="34">
        <v>19.11</v>
      </c>
      <c r="K29" s="34">
        <v>9.1</v>
      </c>
      <c r="L29" s="34">
        <f t="shared" si="0"/>
        <v>109.19999999999999</v>
      </c>
      <c r="M29" s="34">
        <f t="shared" si="1"/>
        <v>128.31</v>
      </c>
      <c r="N29" s="34">
        <f t="shared" si="2"/>
        <v>358.08000000000004</v>
      </c>
      <c r="O29" s="65" t="s">
        <v>134</v>
      </c>
    </row>
    <row r="30" spans="1:15" ht="65.25" customHeight="1" thickBot="1" x14ac:dyDescent="0.3">
      <c r="A30" s="36" t="s">
        <v>138</v>
      </c>
      <c r="B30" s="19" t="s">
        <v>5</v>
      </c>
      <c r="C30" s="34"/>
      <c r="D30" s="34">
        <f>42-19.11</f>
        <v>22.89</v>
      </c>
      <c r="E30" s="34">
        <f>8.1-9.1</f>
        <v>-1</v>
      </c>
      <c r="F30" s="35">
        <v>1000</v>
      </c>
      <c r="G30" s="34"/>
      <c r="H30" s="35"/>
      <c r="I30" s="34">
        <f>(D30)+(E30*12)</f>
        <v>10.89</v>
      </c>
      <c r="J30" s="34">
        <v>19.11</v>
      </c>
      <c r="K30" s="34">
        <v>9.1</v>
      </c>
      <c r="L30" s="34">
        <f t="shared" si="0"/>
        <v>109.19999999999999</v>
      </c>
      <c r="M30" s="34">
        <f t="shared" si="1"/>
        <v>128.31</v>
      </c>
      <c r="N30" s="34">
        <f t="shared" si="2"/>
        <v>139.19999999999999</v>
      </c>
      <c r="O30" s="65" t="s">
        <v>137</v>
      </c>
    </row>
    <row r="31" spans="1:15" ht="45.75" customHeight="1" thickBot="1" x14ac:dyDescent="0.3">
      <c r="A31" s="36" t="s">
        <v>11</v>
      </c>
      <c r="B31" s="19" t="s">
        <v>4</v>
      </c>
      <c r="C31" s="34"/>
      <c r="D31" s="34"/>
      <c r="E31" s="34">
        <v>8.51</v>
      </c>
      <c r="F31" s="35">
        <v>3000</v>
      </c>
      <c r="G31" s="34">
        <v>7.64</v>
      </c>
      <c r="H31" s="35">
        <v>3001</v>
      </c>
      <c r="I31" s="34">
        <f>E31*3+(G31*9)</f>
        <v>94.289999999999992</v>
      </c>
      <c r="J31" s="34">
        <v>19.11</v>
      </c>
      <c r="K31" s="34">
        <v>9.1</v>
      </c>
      <c r="L31" s="34">
        <f t="shared" si="0"/>
        <v>109.19999999999999</v>
      </c>
      <c r="M31" s="34">
        <f t="shared" si="1"/>
        <v>128.31</v>
      </c>
      <c r="N31" s="34">
        <f t="shared" si="2"/>
        <v>222.6</v>
      </c>
      <c r="O31" s="67" t="s">
        <v>107</v>
      </c>
    </row>
    <row r="32" spans="1:15" ht="45" customHeight="1" thickBot="1" x14ac:dyDescent="0.3">
      <c r="A32" s="36" t="s">
        <v>172</v>
      </c>
      <c r="B32" s="19" t="s">
        <v>4</v>
      </c>
      <c r="C32" s="34">
        <f>13.34-(19.11/3)</f>
        <v>6.97</v>
      </c>
      <c r="D32" s="34"/>
      <c r="E32" s="34">
        <f>8.4-9.1</f>
        <v>-0.69999999999999929</v>
      </c>
      <c r="F32" s="35">
        <v>1000</v>
      </c>
      <c r="G32" s="34"/>
      <c r="H32" s="35"/>
      <c r="I32" s="34">
        <f>(C32*3)+(E32*12)</f>
        <v>12.510000000000009</v>
      </c>
      <c r="J32" s="34">
        <v>19.11</v>
      </c>
      <c r="K32" s="34">
        <v>9.1</v>
      </c>
      <c r="L32" s="34">
        <f t="shared" si="0"/>
        <v>109.19999999999999</v>
      </c>
      <c r="M32" s="34">
        <f t="shared" si="1"/>
        <v>128.31</v>
      </c>
      <c r="N32" s="34">
        <f>I32+M32</f>
        <v>140.82000000000002</v>
      </c>
      <c r="O32" s="65" t="s">
        <v>173</v>
      </c>
    </row>
    <row r="33" spans="1:15" ht="88.5" customHeight="1" thickBot="1" x14ac:dyDescent="0.3">
      <c r="A33" s="36" t="s">
        <v>218</v>
      </c>
      <c r="B33" s="19" t="s">
        <v>5</v>
      </c>
      <c r="C33" s="34"/>
      <c r="D33" s="34">
        <f>23.73-19.11</f>
        <v>4.620000000000001</v>
      </c>
      <c r="E33" s="34">
        <f>7.94-9.1</f>
        <v>-1.1599999999999993</v>
      </c>
      <c r="F33" s="35">
        <v>1000</v>
      </c>
      <c r="G33" s="34"/>
      <c r="H33" s="35"/>
      <c r="I33" s="34">
        <f>D33+(E33*12)</f>
        <v>-9.2999999999999901</v>
      </c>
      <c r="J33" s="34">
        <v>19.11</v>
      </c>
      <c r="K33" s="34">
        <v>9.1</v>
      </c>
      <c r="L33" s="34">
        <f t="shared" si="0"/>
        <v>109.19999999999999</v>
      </c>
      <c r="M33" s="34">
        <f t="shared" si="1"/>
        <v>128.31</v>
      </c>
      <c r="N33" s="34">
        <f t="shared" si="2"/>
        <v>119.01000000000002</v>
      </c>
      <c r="O33" s="65" t="s">
        <v>192</v>
      </c>
    </row>
    <row r="34" spans="1:15" ht="87" customHeight="1" thickBot="1" x14ac:dyDescent="0.3">
      <c r="A34" s="36" t="s">
        <v>221</v>
      </c>
      <c r="B34" s="19" t="s">
        <v>4</v>
      </c>
      <c r="C34" s="34"/>
      <c r="D34" s="34" t="s">
        <v>10</v>
      </c>
      <c r="E34" s="34">
        <f>15.1-9.1</f>
        <v>6</v>
      </c>
      <c r="F34" s="35">
        <v>1000</v>
      </c>
      <c r="G34" s="34"/>
      <c r="H34" s="35"/>
      <c r="I34" s="34">
        <f>(C34*3)+(E34*12)</f>
        <v>72</v>
      </c>
      <c r="J34" s="34">
        <v>19.11</v>
      </c>
      <c r="K34" s="34">
        <v>9.1</v>
      </c>
      <c r="L34" s="34">
        <f t="shared" si="0"/>
        <v>109.19999999999999</v>
      </c>
      <c r="M34" s="34">
        <f t="shared" si="1"/>
        <v>128.31</v>
      </c>
      <c r="N34" s="34">
        <f t="shared" si="2"/>
        <v>200.31</v>
      </c>
      <c r="O34" s="65" t="s">
        <v>196</v>
      </c>
    </row>
    <row r="35" spans="1:15" ht="87" customHeight="1" thickBot="1" x14ac:dyDescent="0.3">
      <c r="A35" s="36" t="s">
        <v>82</v>
      </c>
      <c r="B35" s="19" t="s">
        <v>5</v>
      </c>
      <c r="C35" s="34"/>
      <c r="D35" s="34" t="s">
        <v>10</v>
      </c>
      <c r="E35" s="34">
        <v>3</v>
      </c>
      <c r="F35" s="35">
        <v>1000</v>
      </c>
      <c r="G35" s="34"/>
      <c r="H35" s="35"/>
      <c r="I35" s="34">
        <f>(C35*3)+(E35*12)</f>
        <v>36</v>
      </c>
      <c r="J35" s="34">
        <v>19.11</v>
      </c>
      <c r="K35" s="34">
        <v>9.1</v>
      </c>
      <c r="L35" s="34">
        <f t="shared" si="0"/>
        <v>109.19999999999999</v>
      </c>
      <c r="M35" s="34">
        <f t="shared" si="1"/>
        <v>128.31</v>
      </c>
      <c r="N35" s="34">
        <f t="shared" si="2"/>
        <v>164.31</v>
      </c>
      <c r="O35" s="65" t="s">
        <v>147</v>
      </c>
    </row>
    <row r="36" spans="1:15" ht="119.25" customHeight="1" thickBot="1" x14ac:dyDescent="0.3">
      <c r="A36" s="36" t="s">
        <v>140</v>
      </c>
      <c r="B36" s="19" t="s">
        <v>4</v>
      </c>
      <c r="C36" s="34">
        <f>12-(19.11/3)</f>
        <v>5.63</v>
      </c>
      <c r="D36" s="34"/>
      <c r="E36" s="34">
        <f>12.85-9.1</f>
        <v>3.75</v>
      </c>
      <c r="F36" s="35">
        <v>1000</v>
      </c>
      <c r="G36" s="34"/>
      <c r="H36" s="35"/>
      <c r="I36" s="34">
        <f>(C36*3)+(E36*12)</f>
        <v>61.89</v>
      </c>
      <c r="J36" s="34">
        <v>19.11</v>
      </c>
      <c r="K36" s="34">
        <v>9.1</v>
      </c>
      <c r="L36" s="34">
        <f t="shared" si="0"/>
        <v>109.19999999999999</v>
      </c>
      <c r="M36" s="34">
        <f t="shared" si="1"/>
        <v>128.31</v>
      </c>
      <c r="N36" s="34">
        <f t="shared" si="2"/>
        <v>190.2</v>
      </c>
      <c r="O36" s="65" t="s">
        <v>139</v>
      </c>
    </row>
    <row r="37" spans="1:15" ht="76.5" customHeight="1" thickBot="1" x14ac:dyDescent="0.3">
      <c r="A37" s="36" t="s">
        <v>70</v>
      </c>
      <c r="B37" s="19" t="s">
        <v>5</v>
      </c>
      <c r="C37" s="34"/>
      <c r="D37" s="34"/>
      <c r="E37" s="34">
        <v>4.5</v>
      </c>
      <c r="F37" s="35">
        <v>1000</v>
      </c>
      <c r="G37" s="34"/>
      <c r="H37" s="35"/>
      <c r="I37" s="34">
        <f>(C37*3)+(E37*12)</f>
        <v>54</v>
      </c>
      <c r="J37" s="34">
        <v>19.11</v>
      </c>
      <c r="K37" s="34">
        <v>9.1</v>
      </c>
      <c r="L37" s="34">
        <f t="shared" si="0"/>
        <v>109.19999999999999</v>
      </c>
      <c r="M37" s="34">
        <f t="shared" si="1"/>
        <v>128.31</v>
      </c>
      <c r="N37" s="34">
        <f t="shared" si="2"/>
        <v>182.31</v>
      </c>
      <c r="O37" s="65" t="s">
        <v>146</v>
      </c>
    </row>
    <row r="38" spans="1:15" ht="56.25" customHeight="1" thickBot="1" x14ac:dyDescent="0.3">
      <c r="A38" s="36" t="s">
        <v>83</v>
      </c>
      <c r="B38" s="19" t="s">
        <v>141</v>
      </c>
      <c r="C38" s="34"/>
      <c r="D38" s="34"/>
      <c r="E38" s="34"/>
      <c r="F38" s="35">
        <v>1000</v>
      </c>
      <c r="G38" s="34"/>
      <c r="H38" s="35"/>
      <c r="I38" s="34">
        <f>(C38*3)+(E38*13)</f>
        <v>0</v>
      </c>
      <c r="J38" s="34">
        <v>19.11</v>
      </c>
      <c r="K38" s="34">
        <v>9.1</v>
      </c>
      <c r="L38" s="34">
        <f t="shared" si="0"/>
        <v>109.19999999999999</v>
      </c>
      <c r="M38" s="34">
        <f t="shared" si="1"/>
        <v>128.31</v>
      </c>
      <c r="N38" s="34">
        <f t="shared" si="2"/>
        <v>128.31</v>
      </c>
      <c r="O38" s="65" t="s">
        <v>161</v>
      </c>
    </row>
    <row r="39" spans="1:15" ht="72.75" customHeight="1" thickBot="1" x14ac:dyDescent="0.3">
      <c r="A39" s="36" t="s">
        <v>15</v>
      </c>
      <c r="B39" s="19" t="s">
        <v>4</v>
      </c>
      <c r="C39" s="34">
        <f>12.29-(19.11/3)</f>
        <v>5.919999999999999</v>
      </c>
      <c r="D39" s="34" t="s">
        <v>10</v>
      </c>
      <c r="E39" s="34">
        <f>17.56-9.1</f>
        <v>8.4599999999999991</v>
      </c>
      <c r="F39" s="35">
        <v>1000</v>
      </c>
      <c r="G39" s="34"/>
      <c r="H39" s="35"/>
      <c r="I39" s="34">
        <f>(C39*3)+(E39*12)</f>
        <v>119.27999999999997</v>
      </c>
      <c r="J39" s="34">
        <v>19.11</v>
      </c>
      <c r="K39" s="34">
        <v>9.1</v>
      </c>
      <c r="L39" s="34">
        <f t="shared" si="0"/>
        <v>109.19999999999999</v>
      </c>
      <c r="M39" s="34">
        <f t="shared" si="1"/>
        <v>128.31</v>
      </c>
      <c r="N39" s="34">
        <f t="shared" si="2"/>
        <v>247.58999999999997</v>
      </c>
      <c r="O39" s="65" t="s">
        <v>142</v>
      </c>
    </row>
    <row r="40" spans="1:15" ht="63.75" customHeight="1" thickBot="1" x14ac:dyDescent="0.3">
      <c r="A40" s="36" t="s">
        <v>71</v>
      </c>
      <c r="B40" s="19" t="s">
        <v>4</v>
      </c>
      <c r="C40" s="34">
        <f>7.65-6.37</f>
        <v>1.2800000000000002</v>
      </c>
      <c r="D40" s="34"/>
      <c r="E40" s="34">
        <f>13.65-9.1</f>
        <v>4.5500000000000007</v>
      </c>
      <c r="F40" s="35">
        <v>1000</v>
      </c>
      <c r="G40" s="34"/>
      <c r="H40" s="35"/>
      <c r="I40" s="34">
        <f>(C40*3)+(E40*12)</f>
        <v>58.440000000000012</v>
      </c>
      <c r="J40" s="34">
        <v>19.11</v>
      </c>
      <c r="K40" s="34">
        <v>9.1</v>
      </c>
      <c r="L40" s="34">
        <f t="shared" si="0"/>
        <v>109.19999999999999</v>
      </c>
      <c r="M40" s="34">
        <f t="shared" si="1"/>
        <v>128.31</v>
      </c>
      <c r="N40" s="34">
        <f t="shared" si="2"/>
        <v>186.75</v>
      </c>
      <c r="O40" s="65" t="s">
        <v>190</v>
      </c>
    </row>
    <row r="41" spans="1:15" ht="63" customHeight="1" thickBot="1" x14ac:dyDescent="0.3">
      <c r="A41" s="36" t="s">
        <v>144</v>
      </c>
      <c r="B41" s="19" t="s">
        <v>4</v>
      </c>
      <c r="C41" s="34">
        <f>19-(19.11/3)</f>
        <v>12.629999999999999</v>
      </c>
      <c r="D41" s="34"/>
      <c r="E41" s="34">
        <f>8.58-9.1</f>
        <v>-0.51999999999999957</v>
      </c>
      <c r="F41" s="35">
        <v>1000</v>
      </c>
      <c r="G41" s="34"/>
      <c r="H41" s="35"/>
      <c r="I41" s="34">
        <f>(C41*3)+(E41*12)</f>
        <v>31.650000000000006</v>
      </c>
      <c r="J41" s="34">
        <v>19.11</v>
      </c>
      <c r="K41" s="34">
        <v>9.1</v>
      </c>
      <c r="L41" s="34">
        <f t="shared" si="0"/>
        <v>109.19999999999999</v>
      </c>
      <c r="M41" s="34">
        <f t="shared" si="1"/>
        <v>128.31</v>
      </c>
      <c r="N41" s="34">
        <f t="shared" si="2"/>
        <v>159.96</v>
      </c>
      <c r="O41" s="65" t="s">
        <v>143</v>
      </c>
    </row>
    <row r="42" spans="1:15" ht="86.25" customHeight="1" thickBot="1" x14ac:dyDescent="0.3">
      <c r="A42" s="36" t="s">
        <v>65</v>
      </c>
      <c r="B42" s="19" t="s">
        <v>4</v>
      </c>
      <c r="C42" s="34"/>
      <c r="D42" s="34"/>
      <c r="E42" s="34">
        <v>11.89</v>
      </c>
      <c r="F42" s="35">
        <v>4500</v>
      </c>
      <c r="G42" s="34">
        <v>2.5</v>
      </c>
      <c r="H42" s="35">
        <v>4501</v>
      </c>
      <c r="I42" s="34">
        <f>E42*3</f>
        <v>35.67</v>
      </c>
      <c r="J42" s="34">
        <v>19.11</v>
      </c>
      <c r="K42" s="34">
        <v>9.1</v>
      </c>
      <c r="L42" s="34">
        <f t="shared" si="0"/>
        <v>109.19999999999999</v>
      </c>
      <c r="M42" s="34">
        <f t="shared" si="1"/>
        <v>128.31</v>
      </c>
      <c r="N42" s="34">
        <f t="shared" si="2"/>
        <v>163.98000000000002</v>
      </c>
      <c r="O42" s="65" t="s">
        <v>145</v>
      </c>
    </row>
    <row r="43" spans="1:15" ht="73.5" customHeight="1" thickBot="1" x14ac:dyDescent="0.3">
      <c r="A43" s="36" t="s">
        <v>219</v>
      </c>
      <c r="B43" s="19" t="s">
        <v>5</v>
      </c>
      <c r="C43" s="34"/>
      <c r="D43" s="34"/>
      <c r="E43" s="34">
        <f>14.01-9.1</f>
        <v>4.91</v>
      </c>
      <c r="F43" s="35">
        <v>1000</v>
      </c>
      <c r="G43" s="34"/>
      <c r="H43" s="35"/>
      <c r="I43" s="34">
        <f>D43+(E43*12)</f>
        <v>58.92</v>
      </c>
      <c r="J43" s="34">
        <v>19.11</v>
      </c>
      <c r="K43" s="34">
        <v>9.1</v>
      </c>
      <c r="L43" s="34">
        <f t="shared" si="0"/>
        <v>109.19999999999999</v>
      </c>
      <c r="M43" s="34">
        <f t="shared" si="1"/>
        <v>128.31</v>
      </c>
      <c r="N43" s="34">
        <f t="shared" si="2"/>
        <v>187.23000000000002</v>
      </c>
      <c r="O43" s="65" t="s">
        <v>220</v>
      </c>
    </row>
    <row r="44" spans="1:15" x14ac:dyDescent="0.25">
      <c r="B44" s="6"/>
      <c r="C44" s="13"/>
      <c r="D44" s="13"/>
      <c r="E44" s="13"/>
      <c r="F44" s="14"/>
      <c r="G44" s="14"/>
      <c r="H44" s="15"/>
      <c r="I44" s="13"/>
      <c r="J44" s="13"/>
      <c r="K44" s="13"/>
      <c r="L44" s="13"/>
      <c r="M44" s="13"/>
      <c r="N44" s="13"/>
      <c r="O44" s="68"/>
    </row>
    <row r="45" spans="1:15" x14ac:dyDescent="0.25">
      <c r="B45" s="11" t="s">
        <v>12</v>
      </c>
      <c r="C45" s="4" t="s">
        <v>96</v>
      </c>
      <c r="O45" s="68"/>
    </row>
    <row r="46" spans="1:15" x14ac:dyDescent="0.25">
      <c r="B46" s="11"/>
      <c r="O46" s="68"/>
    </row>
    <row r="47" spans="1:15" x14ac:dyDescent="0.25">
      <c r="B47" s="11"/>
      <c r="C47" s="4" t="s">
        <v>97</v>
      </c>
      <c r="O47" s="68"/>
    </row>
    <row r="49" spans="3:15" x14ac:dyDescent="0.25">
      <c r="C49" s="4" t="s">
        <v>87</v>
      </c>
      <c r="M49" s="4" t="s">
        <v>10</v>
      </c>
      <c r="N49" s="12" t="s">
        <v>10</v>
      </c>
    </row>
    <row r="50" spans="3:15" s="54" customFormat="1" ht="18" x14ac:dyDescent="0.25">
      <c r="C50" s="55"/>
      <c r="N50" s="56"/>
      <c r="O50" s="69"/>
    </row>
  </sheetData>
  <sheetProtection algorithmName="SHA-512" hashValue="gvwWTjes+MZ4fA1GByjKpWCmHvvo2iFTahW/TcVKMB4iTfT/QoYR4mSpixqTiLJ0hLg23jx6Oa7l9DvZrNvwqg==" saltValue="Vhiqas36AySh+sJd6u+ctQ==" spinCount="100000" sheet="1" formatCells="0" formatColumns="0" formatRows="0"/>
  <pageMargins left="0.7" right="0.7" top="0.75" bottom="0.75" header="0.3" footer="0.3"/>
  <pageSetup paperSize="17" scale="1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8"/>
  <sheetViews>
    <sheetView tabSelected="1" zoomScale="98" zoomScaleNormal="98" workbookViewId="0">
      <pane xSplit="1" topLeftCell="B1" activePane="topRight" state="frozen"/>
      <selection pane="topRight" activeCell="O1" sqref="O1:O1048576"/>
    </sheetView>
  </sheetViews>
  <sheetFormatPr defaultColWidth="9.140625" defaultRowHeight="15" x14ac:dyDescent="0.25"/>
  <cols>
    <col min="1" max="1" width="26.5703125" style="4" customWidth="1"/>
    <col min="2" max="2" width="14.85546875" style="4" customWidth="1"/>
    <col min="3" max="3" width="9" style="4" customWidth="1"/>
    <col min="4" max="4" width="10.28515625" style="4" customWidth="1"/>
    <col min="5" max="5" width="8.7109375" style="4" customWidth="1"/>
    <col min="6" max="6" width="10" style="4" customWidth="1"/>
    <col min="7" max="7" width="7.42578125" style="4" customWidth="1"/>
    <col min="8" max="8" width="7.5703125" style="4" customWidth="1"/>
    <col min="9" max="9" width="14.7109375" style="4" customWidth="1"/>
    <col min="10" max="10" width="12.42578125" style="4" customWidth="1"/>
    <col min="11" max="11" width="12.5703125" style="4" customWidth="1"/>
    <col min="12" max="12" width="16.42578125" style="4" customWidth="1"/>
    <col min="13" max="13" width="18.85546875" style="4" customWidth="1"/>
    <col min="14" max="14" width="11.42578125" style="4" bestFit="1" customWidth="1"/>
    <col min="15" max="15" width="44.42578125" style="82" hidden="1" customWidth="1"/>
    <col min="16" max="18" width="9.140625" style="4"/>
    <col min="19" max="19" width="13.85546875" style="4" customWidth="1"/>
    <col min="20" max="16384" width="9.140625" style="4"/>
  </cols>
  <sheetData>
    <row r="1" spans="1:19" ht="18.75" x14ac:dyDescent="0.3">
      <c r="A1" s="8" t="s">
        <v>85</v>
      </c>
      <c r="B1" s="8"/>
    </row>
    <row r="2" spans="1:19" ht="15.75" x14ac:dyDescent="0.25">
      <c r="A2" s="9" t="s">
        <v>13</v>
      </c>
      <c r="B2" s="9"/>
      <c r="M2" s="7"/>
    </row>
    <row r="3" spans="1:19" x14ac:dyDescent="0.25">
      <c r="A3" s="4" t="s">
        <v>38</v>
      </c>
      <c r="C3" s="2"/>
    </row>
    <row r="4" spans="1:19" x14ac:dyDescent="0.25">
      <c r="A4" s="4" t="s">
        <v>74</v>
      </c>
      <c r="D4" s="2"/>
      <c r="E4" s="2"/>
    </row>
    <row r="5" spans="1:19" ht="15.75" thickBot="1" x14ac:dyDescent="0.3">
      <c r="D5" s="2"/>
      <c r="E5" s="2"/>
    </row>
    <row r="6" spans="1:19" ht="36.75" customHeight="1" thickBot="1" x14ac:dyDescent="0.3">
      <c r="A6" s="18" t="s">
        <v>30</v>
      </c>
      <c r="B6" s="37" t="s">
        <v>91</v>
      </c>
      <c r="C6" s="19" t="s">
        <v>1</v>
      </c>
      <c r="D6" s="19"/>
      <c r="E6" s="19" t="s">
        <v>21</v>
      </c>
      <c r="F6" s="19"/>
      <c r="G6" s="19" t="s">
        <v>2</v>
      </c>
      <c r="H6" s="19"/>
      <c r="I6" s="18" t="s">
        <v>33</v>
      </c>
      <c r="J6" s="18" t="s">
        <v>26</v>
      </c>
      <c r="K6" s="18" t="s">
        <v>27</v>
      </c>
      <c r="L6" s="18" t="s">
        <v>3</v>
      </c>
      <c r="M6" s="18" t="s">
        <v>34</v>
      </c>
      <c r="N6" s="18" t="s">
        <v>32</v>
      </c>
      <c r="O6" s="83" t="s">
        <v>40</v>
      </c>
    </row>
    <row r="7" spans="1:19" ht="45.75" thickBot="1" x14ac:dyDescent="0.3">
      <c r="A7" s="21"/>
      <c r="B7" s="21"/>
      <c r="C7" s="19" t="s">
        <v>4</v>
      </c>
      <c r="D7" s="19" t="s">
        <v>5</v>
      </c>
      <c r="E7" s="19" t="s">
        <v>6</v>
      </c>
      <c r="F7" s="19" t="s">
        <v>7</v>
      </c>
      <c r="G7" s="19" t="s">
        <v>6</v>
      </c>
      <c r="H7" s="19" t="s">
        <v>8</v>
      </c>
      <c r="I7" s="22" t="s">
        <v>77</v>
      </c>
      <c r="J7" s="22" t="s">
        <v>9</v>
      </c>
      <c r="K7" s="22" t="s">
        <v>28</v>
      </c>
      <c r="L7" s="22" t="s">
        <v>75</v>
      </c>
      <c r="M7" s="22" t="s">
        <v>75</v>
      </c>
      <c r="N7" s="22" t="s">
        <v>35</v>
      </c>
      <c r="O7" s="84"/>
      <c r="P7" s="5"/>
      <c r="Q7" s="5"/>
      <c r="R7" s="5"/>
      <c r="S7" s="5"/>
    </row>
    <row r="8" spans="1:19" ht="75.75" customHeight="1" thickBot="1" x14ac:dyDescent="0.3">
      <c r="A8" s="19" t="s">
        <v>76</v>
      </c>
      <c r="B8" s="19" t="s">
        <v>5</v>
      </c>
      <c r="C8" s="34"/>
      <c r="D8" s="34"/>
      <c r="E8" s="34">
        <v>2.5</v>
      </c>
      <c r="F8" s="35">
        <v>1000</v>
      </c>
      <c r="G8" s="34"/>
      <c r="H8" s="35"/>
      <c r="I8" s="34">
        <f>(D8)+(E8*12)</f>
        <v>30</v>
      </c>
      <c r="J8" s="34">
        <v>19.11</v>
      </c>
      <c r="K8" s="34">
        <v>9.1</v>
      </c>
      <c r="L8" s="34">
        <f>9.1*12</f>
        <v>109.19999999999999</v>
      </c>
      <c r="M8" s="34">
        <f t="shared" ref="M8:M34" si="0">J8+L8</f>
        <v>128.31</v>
      </c>
      <c r="N8" s="34">
        <f t="shared" ref="N8:N34" si="1">I8+M8</f>
        <v>158.31</v>
      </c>
      <c r="O8" s="67" t="s">
        <v>148</v>
      </c>
      <c r="P8" s="7"/>
      <c r="Q8" s="7"/>
      <c r="R8" s="7"/>
      <c r="S8" s="7"/>
    </row>
    <row r="9" spans="1:19" ht="102.75" customHeight="1" thickBot="1" x14ac:dyDescent="0.3">
      <c r="A9" s="19" t="s">
        <v>67</v>
      </c>
      <c r="B9" s="19" t="s">
        <v>5</v>
      </c>
      <c r="C9" s="34"/>
      <c r="D9" s="34">
        <f>29.06-19.11</f>
        <v>9.9499999999999993</v>
      </c>
      <c r="E9" s="34">
        <f>11.2-9.1</f>
        <v>2.0999999999999996</v>
      </c>
      <c r="F9" s="35">
        <v>1000</v>
      </c>
      <c r="G9" s="34"/>
      <c r="H9" s="35"/>
      <c r="I9" s="34">
        <f>(D9)+(E9*12)</f>
        <v>35.149999999999991</v>
      </c>
      <c r="J9" s="34">
        <v>19.11</v>
      </c>
      <c r="K9" s="34">
        <v>9.1</v>
      </c>
      <c r="L9" s="34">
        <f t="shared" ref="L9:L34" si="2">9.1*12</f>
        <v>109.19999999999999</v>
      </c>
      <c r="M9" s="34">
        <f t="shared" si="0"/>
        <v>128.31</v>
      </c>
      <c r="N9" s="34">
        <f t="shared" si="1"/>
        <v>163.45999999999998</v>
      </c>
      <c r="O9" s="67" t="s">
        <v>205</v>
      </c>
      <c r="P9" s="7"/>
      <c r="Q9" s="7"/>
      <c r="R9" s="7"/>
      <c r="S9" s="7"/>
    </row>
    <row r="10" spans="1:19" ht="68.25" customHeight="1" thickBot="1" x14ac:dyDescent="0.3">
      <c r="A10" s="19" t="s">
        <v>57</v>
      </c>
      <c r="B10" s="19" t="s">
        <v>5</v>
      </c>
      <c r="C10" s="34"/>
      <c r="D10" s="34">
        <v>2</v>
      </c>
      <c r="E10" s="34">
        <v>2.5</v>
      </c>
      <c r="F10" s="35">
        <v>1000</v>
      </c>
      <c r="G10" s="34" t="s">
        <v>10</v>
      </c>
      <c r="H10" s="35" t="s">
        <v>10</v>
      </c>
      <c r="I10" s="34">
        <f>(D10)+(E10*12)</f>
        <v>32</v>
      </c>
      <c r="J10" s="34">
        <v>19.11</v>
      </c>
      <c r="K10" s="34">
        <v>9.1</v>
      </c>
      <c r="L10" s="34">
        <f t="shared" si="2"/>
        <v>109.19999999999999</v>
      </c>
      <c r="M10" s="34">
        <f t="shared" si="0"/>
        <v>128.31</v>
      </c>
      <c r="N10" s="34">
        <f t="shared" si="1"/>
        <v>160.31</v>
      </c>
      <c r="O10" s="67" t="s">
        <v>149</v>
      </c>
      <c r="P10" s="7"/>
      <c r="Q10" s="7"/>
      <c r="R10" s="7"/>
      <c r="S10" s="7"/>
    </row>
    <row r="11" spans="1:19" ht="75.75" customHeight="1" thickBot="1" x14ac:dyDescent="0.3">
      <c r="A11" s="27" t="s">
        <v>68</v>
      </c>
      <c r="B11" s="27"/>
      <c r="C11" s="28"/>
      <c r="D11" s="28"/>
      <c r="E11" s="28">
        <v>0</v>
      </c>
      <c r="F11" s="29">
        <v>1000</v>
      </c>
      <c r="G11" s="28"/>
      <c r="H11" s="29"/>
      <c r="I11" s="28">
        <f>(D11)+(E11*13)</f>
        <v>0</v>
      </c>
      <c r="J11" s="28">
        <v>19.11</v>
      </c>
      <c r="K11" s="28">
        <v>9.1</v>
      </c>
      <c r="L11" s="28">
        <f t="shared" si="2"/>
        <v>109.19999999999999</v>
      </c>
      <c r="M11" s="28">
        <f t="shared" si="0"/>
        <v>128.31</v>
      </c>
      <c r="N11" s="28">
        <f t="shared" si="1"/>
        <v>128.31</v>
      </c>
      <c r="O11" s="85" t="s">
        <v>171</v>
      </c>
      <c r="P11" s="7"/>
      <c r="Q11" s="7"/>
      <c r="R11" s="7"/>
      <c r="S11" s="7"/>
    </row>
    <row r="12" spans="1:19" ht="132.75" customHeight="1" thickBot="1" x14ac:dyDescent="0.3">
      <c r="A12" s="19" t="s">
        <v>183</v>
      </c>
      <c r="B12" s="19" t="s">
        <v>5</v>
      </c>
      <c r="C12" s="34"/>
      <c r="D12" s="34">
        <f>18.27-19.11</f>
        <v>-0.83999999999999986</v>
      </c>
      <c r="E12" s="34">
        <f>11.76-9.1</f>
        <v>2.66</v>
      </c>
      <c r="F12" s="35">
        <v>1000</v>
      </c>
      <c r="G12" s="34"/>
      <c r="H12" s="35"/>
      <c r="I12" s="34">
        <f>(D12)+(E12*12)</f>
        <v>31.080000000000002</v>
      </c>
      <c r="J12" s="34">
        <v>19.11</v>
      </c>
      <c r="K12" s="34">
        <v>9.1</v>
      </c>
      <c r="L12" s="34">
        <f t="shared" si="2"/>
        <v>109.19999999999999</v>
      </c>
      <c r="M12" s="34">
        <f t="shared" ref="M12" si="3">J12+L12</f>
        <v>128.31</v>
      </c>
      <c r="N12" s="34">
        <f t="shared" ref="N12" si="4">I12+M12</f>
        <v>159.39000000000001</v>
      </c>
      <c r="O12" s="67" t="s">
        <v>182</v>
      </c>
      <c r="P12" s="7"/>
      <c r="Q12" s="7"/>
      <c r="R12" s="7"/>
      <c r="S12" s="7"/>
    </row>
    <row r="13" spans="1:19" ht="162" customHeight="1" thickBot="1" x14ac:dyDescent="0.3">
      <c r="A13" s="19" t="s">
        <v>25</v>
      </c>
      <c r="B13" s="19" t="s">
        <v>5</v>
      </c>
      <c r="C13" s="34"/>
      <c r="D13" s="34">
        <f>45</f>
        <v>45</v>
      </c>
      <c r="E13" s="34">
        <f>30.41-19.11-9.1</f>
        <v>2.2000000000000011</v>
      </c>
      <c r="F13" s="35">
        <v>1000</v>
      </c>
      <c r="G13" s="34">
        <f>11.3-9.1</f>
        <v>2.2000000000000011</v>
      </c>
      <c r="H13" s="35">
        <v>2001</v>
      </c>
      <c r="I13" s="34">
        <f>(D13)+E13 +(G13*11)</f>
        <v>71.400000000000006</v>
      </c>
      <c r="J13" s="34">
        <v>19.11</v>
      </c>
      <c r="K13" s="34">
        <v>9.1</v>
      </c>
      <c r="L13" s="34">
        <f t="shared" si="2"/>
        <v>109.19999999999999</v>
      </c>
      <c r="M13" s="34">
        <f t="shared" si="0"/>
        <v>128.31</v>
      </c>
      <c r="N13" s="34">
        <f t="shared" si="1"/>
        <v>199.71</v>
      </c>
      <c r="O13" s="67" t="s">
        <v>177</v>
      </c>
      <c r="P13" s="7"/>
      <c r="Q13" s="7"/>
      <c r="R13" s="7"/>
      <c r="S13" s="7"/>
    </row>
    <row r="14" spans="1:19" ht="96.75" customHeight="1" thickBot="1" x14ac:dyDescent="0.3">
      <c r="A14" s="19" t="s">
        <v>160</v>
      </c>
      <c r="B14" s="19" t="s">
        <v>5</v>
      </c>
      <c r="C14" s="34"/>
      <c r="D14" s="34">
        <v>2</v>
      </c>
      <c r="E14" s="34">
        <v>5.6</v>
      </c>
      <c r="F14" s="35">
        <v>1000</v>
      </c>
      <c r="G14" s="34" t="s">
        <v>10</v>
      </c>
      <c r="H14" s="35" t="s">
        <v>10</v>
      </c>
      <c r="I14" s="34">
        <f>(D14)+(E14*12)</f>
        <v>69.199999999999989</v>
      </c>
      <c r="J14" s="34">
        <v>19.11</v>
      </c>
      <c r="K14" s="34">
        <v>9.1</v>
      </c>
      <c r="L14" s="34">
        <f t="shared" si="2"/>
        <v>109.19999999999999</v>
      </c>
      <c r="M14" s="34">
        <f t="shared" si="0"/>
        <v>128.31</v>
      </c>
      <c r="N14" s="34">
        <f t="shared" si="1"/>
        <v>197.51</v>
      </c>
      <c r="O14" s="67" t="s">
        <v>162</v>
      </c>
      <c r="P14" s="7"/>
      <c r="Q14" s="7"/>
      <c r="R14" s="7"/>
      <c r="S14" s="7"/>
    </row>
    <row r="15" spans="1:19" ht="99.75" customHeight="1" thickBot="1" x14ac:dyDescent="0.3">
      <c r="A15" s="19" t="s">
        <v>18</v>
      </c>
      <c r="B15" s="19" t="s">
        <v>150</v>
      </c>
      <c r="C15" s="34">
        <f>20.4/2</f>
        <v>10.199999999999999</v>
      </c>
      <c r="D15" s="34"/>
      <c r="E15" s="34">
        <f>13.71-9.1</f>
        <v>4.6100000000000012</v>
      </c>
      <c r="F15" s="35">
        <v>1000</v>
      </c>
      <c r="G15" s="34"/>
      <c r="H15" s="35"/>
      <c r="I15" s="34">
        <f>(C15*3)+(E15*12)</f>
        <v>85.920000000000016</v>
      </c>
      <c r="J15" s="34">
        <v>19.11</v>
      </c>
      <c r="K15" s="34">
        <v>9.1</v>
      </c>
      <c r="L15" s="34">
        <f t="shared" si="2"/>
        <v>109.19999999999999</v>
      </c>
      <c r="M15" s="34">
        <f t="shared" si="0"/>
        <v>128.31</v>
      </c>
      <c r="N15" s="34">
        <f t="shared" si="1"/>
        <v>214.23000000000002</v>
      </c>
      <c r="O15" s="67" t="s">
        <v>168</v>
      </c>
      <c r="P15" s="7"/>
      <c r="Q15" s="7"/>
      <c r="R15" s="7"/>
      <c r="S15" s="7"/>
    </row>
    <row r="16" spans="1:19" ht="61.5" customHeight="1" thickBot="1" x14ac:dyDescent="0.3">
      <c r="A16" s="19" t="s">
        <v>58</v>
      </c>
      <c r="B16" s="19" t="s">
        <v>5</v>
      </c>
      <c r="C16" s="34"/>
      <c r="D16" s="34">
        <v>60</v>
      </c>
      <c r="E16" s="34">
        <v>4.66</v>
      </c>
      <c r="F16" s="35">
        <v>1000</v>
      </c>
      <c r="G16" s="34" t="s">
        <v>10</v>
      </c>
      <c r="H16" s="35" t="s">
        <v>10</v>
      </c>
      <c r="I16" s="34">
        <f t="shared" ref="I16:I22" si="5">(D16)+(E16*12)</f>
        <v>115.92</v>
      </c>
      <c r="J16" s="34">
        <v>19.11</v>
      </c>
      <c r="K16" s="34">
        <v>9.1</v>
      </c>
      <c r="L16" s="34">
        <f t="shared" si="2"/>
        <v>109.19999999999999</v>
      </c>
      <c r="M16" s="34">
        <f t="shared" si="0"/>
        <v>128.31</v>
      </c>
      <c r="N16" s="34">
        <f t="shared" si="1"/>
        <v>244.23000000000002</v>
      </c>
      <c r="O16" s="67" t="s">
        <v>163</v>
      </c>
      <c r="P16" s="7"/>
      <c r="Q16" s="7"/>
      <c r="R16" s="7"/>
      <c r="S16" s="7"/>
    </row>
    <row r="17" spans="1:19" ht="80.25" customHeight="1" thickBot="1" x14ac:dyDescent="0.3">
      <c r="A17" s="19" t="s">
        <v>166</v>
      </c>
      <c r="B17" s="19" t="s">
        <v>5</v>
      </c>
      <c r="C17" s="34"/>
      <c r="D17" s="34">
        <f>21.25-19.11</f>
        <v>2.1400000000000006</v>
      </c>
      <c r="E17" s="34">
        <f>7.55-9.1</f>
        <v>-1.5499999999999998</v>
      </c>
      <c r="F17" s="35">
        <v>1000</v>
      </c>
      <c r="G17" s="34"/>
      <c r="H17" s="35"/>
      <c r="I17" s="34">
        <f t="shared" si="5"/>
        <v>-16.459999999999997</v>
      </c>
      <c r="J17" s="34">
        <v>19.11</v>
      </c>
      <c r="K17" s="34">
        <v>9.1</v>
      </c>
      <c r="L17" s="34">
        <f t="shared" si="2"/>
        <v>109.19999999999999</v>
      </c>
      <c r="M17" s="34">
        <f t="shared" si="0"/>
        <v>128.31</v>
      </c>
      <c r="N17" s="34">
        <f t="shared" si="1"/>
        <v>111.85000000000001</v>
      </c>
      <c r="O17" s="67" t="s">
        <v>167</v>
      </c>
      <c r="P17" s="7"/>
      <c r="Q17" s="7"/>
      <c r="R17" s="7"/>
      <c r="S17" s="7"/>
    </row>
    <row r="18" spans="1:19" ht="99.75" customHeight="1" thickBot="1" x14ac:dyDescent="0.3">
      <c r="A18" s="19" t="s">
        <v>153</v>
      </c>
      <c r="B18" s="19" t="s">
        <v>5</v>
      </c>
      <c r="C18" s="34"/>
      <c r="D18" s="34">
        <v>50</v>
      </c>
      <c r="E18" s="34">
        <v>2.75</v>
      </c>
      <c r="F18" s="35">
        <v>1000</v>
      </c>
      <c r="G18" s="34"/>
      <c r="H18" s="35"/>
      <c r="I18" s="34">
        <f t="shared" si="5"/>
        <v>83</v>
      </c>
      <c r="J18" s="34">
        <v>19.11</v>
      </c>
      <c r="K18" s="34">
        <v>9.1</v>
      </c>
      <c r="L18" s="34">
        <f t="shared" si="2"/>
        <v>109.19999999999999</v>
      </c>
      <c r="M18" s="34">
        <f t="shared" si="0"/>
        <v>128.31</v>
      </c>
      <c r="N18" s="34">
        <f t="shared" si="1"/>
        <v>211.31</v>
      </c>
      <c r="O18" s="67" t="s">
        <v>157</v>
      </c>
      <c r="P18" s="7"/>
      <c r="Q18" s="7"/>
      <c r="R18" s="7"/>
      <c r="S18" s="7"/>
    </row>
    <row r="19" spans="1:19" ht="94.5" customHeight="1" thickBot="1" x14ac:dyDescent="0.3">
      <c r="A19" s="19" t="s">
        <v>154</v>
      </c>
      <c r="B19" s="19" t="s">
        <v>5</v>
      </c>
      <c r="C19" s="34"/>
      <c r="D19" s="34"/>
      <c r="E19" s="34">
        <v>2.75</v>
      </c>
      <c r="F19" s="35">
        <v>1000</v>
      </c>
      <c r="G19" s="34"/>
      <c r="H19" s="35"/>
      <c r="I19" s="34">
        <f t="shared" si="5"/>
        <v>33</v>
      </c>
      <c r="J19" s="34">
        <v>19.11</v>
      </c>
      <c r="K19" s="34">
        <v>9.1</v>
      </c>
      <c r="L19" s="34">
        <f t="shared" si="2"/>
        <v>109.19999999999999</v>
      </c>
      <c r="M19" s="34">
        <f t="shared" si="0"/>
        <v>128.31</v>
      </c>
      <c r="N19" s="34">
        <f t="shared" si="1"/>
        <v>161.31</v>
      </c>
      <c r="O19" s="67" t="s">
        <v>156</v>
      </c>
      <c r="P19" s="7"/>
      <c r="Q19" s="7"/>
      <c r="R19" s="7"/>
      <c r="S19" s="7"/>
    </row>
    <row r="20" spans="1:19" ht="149.25" customHeight="1" thickBot="1" x14ac:dyDescent="0.3">
      <c r="A20" s="19" t="s">
        <v>155</v>
      </c>
      <c r="B20" s="19" t="s">
        <v>5</v>
      </c>
      <c r="C20" s="34"/>
      <c r="D20" s="34">
        <v>85</v>
      </c>
      <c r="E20" s="34">
        <v>2.75</v>
      </c>
      <c r="F20" s="35">
        <v>1000</v>
      </c>
      <c r="G20" s="34"/>
      <c r="H20" s="35"/>
      <c r="I20" s="34">
        <f t="shared" si="5"/>
        <v>118</v>
      </c>
      <c r="J20" s="34">
        <v>19.11</v>
      </c>
      <c r="K20" s="34">
        <v>9.1</v>
      </c>
      <c r="L20" s="34">
        <f t="shared" si="2"/>
        <v>109.19999999999999</v>
      </c>
      <c r="M20" s="34">
        <f t="shared" si="0"/>
        <v>128.31</v>
      </c>
      <c r="N20" s="34">
        <f t="shared" si="1"/>
        <v>246.31</v>
      </c>
      <c r="O20" s="67" t="s">
        <v>158</v>
      </c>
      <c r="P20" s="7"/>
      <c r="Q20" s="7"/>
      <c r="R20" s="7"/>
      <c r="S20" s="7"/>
    </row>
    <row r="21" spans="1:19" ht="102.75" customHeight="1" thickBot="1" x14ac:dyDescent="0.3">
      <c r="A21" s="19" t="s">
        <v>206</v>
      </c>
      <c r="B21" s="19"/>
      <c r="C21" s="34"/>
      <c r="D21" s="34">
        <f>21.11-19.11</f>
        <v>2</v>
      </c>
      <c r="E21" s="34">
        <f>13.1-9.1</f>
        <v>4</v>
      </c>
      <c r="F21" s="35">
        <v>1000</v>
      </c>
      <c r="G21" s="34"/>
      <c r="H21" s="35"/>
      <c r="I21" s="34">
        <f t="shared" si="5"/>
        <v>50</v>
      </c>
      <c r="J21" s="34">
        <v>19.11</v>
      </c>
      <c r="K21" s="34">
        <v>9.1</v>
      </c>
      <c r="L21" s="34">
        <f t="shared" si="2"/>
        <v>109.19999999999999</v>
      </c>
      <c r="M21" s="34">
        <f t="shared" si="0"/>
        <v>128.31</v>
      </c>
      <c r="N21" s="34">
        <f t="shared" si="1"/>
        <v>178.31</v>
      </c>
      <c r="O21" s="67" t="s">
        <v>207</v>
      </c>
      <c r="P21" s="7"/>
      <c r="Q21" s="7"/>
      <c r="R21" s="7"/>
      <c r="S21" s="7"/>
    </row>
    <row r="22" spans="1:19" ht="119.25" customHeight="1" thickBot="1" x14ac:dyDescent="0.3">
      <c r="A22" s="19" t="s">
        <v>208</v>
      </c>
      <c r="B22" s="19" t="s">
        <v>5</v>
      </c>
      <c r="C22" s="34"/>
      <c r="D22" s="34">
        <f>21.25-19.11</f>
        <v>2.1400000000000006</v>
      </c>
      <c r="E22" s="34">
        <f>7.55-9.1</f>
        <v>-1.5499999999999998</v>
      </c>
      <c r="F22" s="35">
        <v>1000</v>
      </c>
      <c r="G22" s="34"/>
      <c r="H22" s="35"/>
      <c r="I22" s="34">
        <f t="shared" si="5"/>
        <v>-16.459999999999997</v>
      </c>
      <c r="J22" s="34">
        <v>19.11</v>
      </c>
      <c r="K22" s="34">
        <v>9.1</v>
      </c>
      <c r="L22" s="34">
        <f t="shared" si="2"/>
        <v>109.19999999999999</v>
      </c>
      <c r="M22" s="34">
        <f t="shared" si="0"/>
        <v>128.31</v>
      </c>
      <c r="N22" s="34">
        <f t="shared" si="1"/>
        <v>111.85000000000001</v>
      </c>
      <c r="O22" s="67" t="s">
        <v>165</v>
      </c>
      <c r="P22" s="7"/>
      <c r="Q22" s="7"/>
      <c r="R22" s="7"/>
      <c r="S22" s="7"/>
    </row>
    <row r="23" spans="1:19" ht="100.5" customHeight="1" thickBot="1" x14ac:dyDescent="0.3">
      <c r="A23" s="19" t="s">
        <v>184</v>
      </c>
      <c r="B23" s="19"/>
      <c r="C23" s="34">
        <f>7.35-5.95</f>
        <v>1.3999999999999995</v>
      </c>
      <c r="D23" s="34"/>
      <c r="E23" s="34">
        <v>14.5</v>
      </c>
      <c r="F23" s="35">
        <v>5000</v>
      </c>
      <c r="G23" s="34">
        <f>(10.35-8.5) +6</f>
        <v>7.85</v>
      </c>
      <c r="H23" s="35">
        <v>5001</v>
      </c>
      <c r="I23" s="34">
        <f>(C23*3)+E23+(G23*7)</f>
        <v>73.649999999999991</v>
      </c>
      <c r="J23" s="34">
        <v>19.11</v>
      </c>
      <c r="K23" s="34">
        <v>9.1</v>
      </c>
      <c r="L23" s="34">
        <f t="shared" si="2"/>
        <v>109.19999999999999</v>
      </c>
      <c r="M23" s="34">
        <f t="shared" si="0"/>
        <v>128.31</v>
      </c>
      <c r="N23" s="34">
        <f t="shared" si="1"/>
        <v>201.95999999999998</v>
      </c>
      <c r="O23" s="67" t="s">
        <v>185</v>
      </c>
      <c r="P23" s="59" t="s">
        <v>186</v>
      </c>
      <c r="Q23" s="7"/>
      <c r="R23" s="7"/>
      <c r="S23" s="7"/>
    </row>
    <row r="24" spans="1:19" ht="108" customHeight="1" thickBot="1" x14ac:dyDescent="0.3">
      <c r="A24" s="27" t="s">
        <v>159</v>
      </c>
      <c r="B24" s="27" t="s">
        <v>5</v>
      </c>
      <c r="C24" s="28"/>
      <c r="D24" s="28"/>
      <c r="E24" s="28">
        <f>39-19.11 - (9.1*3)</f>
        <v>-7.4099999999999966</v>
      </c>
      <c r="F24" s="29">
        <v>3000</v>
      </c>
      <c r="G24" s="28">
        <f>21.75-9.1</f>
        <v>12.65</v>
      </c>
      <c r="H24" s="29">
        <v>3001</v>
      </c>
      <c r="I24" s="28">
        <f>(E24) +(G24*9)</f>
        <v>106.44000000000001</v>
      </c>
      <c r="J24" s="28">
        <v>19.11</v>
      </c>
      <c r="K24" s="28">
        <v>9.1</v>
      </c>
      <c r="L24" s="28">
        <f t="shared" si="2"/>
        <v>109.19999999999999</v>
      </c>
      <c r="M24" s="28">
        <f t="shared" si="0"/>
        <v>128.31</v>
      </c>
      <c r="N24" s="28">
        <f t="shared" si="1"/>
        <v>234.75</v>
      </c>
      <c r="O24" s="85" t="s">
        <v>209</v>
      </c>
      <c r="P24" s="7"/>
      <c r="Q24" s="7"/>
      <c r="R24" s="7"/>
      <c r="S24" s="7"/>
    </row>
    <row r="25" spans="1:19" ht="97.5" customHeight="1" thickBot="1" x14ac:dyDescent="0.3">
      <c r="A25" s="19" t="s">
        <v>78</v>
      </c>
      <c r="B25" s="19" t="s">
        <v>5</v>
      </c>
      <c r="C25" s="34"/>
      <c r="D25" s="34">
        <v>5.75</v>
      </c>
      <c r="E25" s="34">
        <v>2.35</v>
      </c>
      <c r="F25" s="35">
        <v>1000</v>
      </c>
      <c r="G25" s="34"/>
      <c r="H25" s="35"/>
      <c r="I25" s="34">
        <f>(D25)+(E25*12)</f>
        <v>33.950000000000003</v>
      </c>
      <c r="J25" s="34">
        <v>19.11</v>
      </c>
      <c r="K25" s="34">
        <v>9.1</v>
      </c>
      <c r="L25" s="34">
        <f t="shared" si="2"/>
        <v>109.19999999999999</v>
      </c>
      <c r="M25" s="34">
        <f t="shared" si="0"/>
        <v>128.31</v>
      </c>
      <c r="N25" s="34">
        <f t="shared" si="1"/>
        <v>162.26</v>
      </c>
      <c r="O25" s="67" t="s">
        <v>164</v>
      </c>
      <c r="P25" s="7"/>
      <c r="Q25" s="7"/>
      <c r="R25" s="7"/>
      <c r="S25" s="7"/>
    </row>
    <row r="26" spans="1:19" ht="99" customHeight="1" thickBot="1" x14ac:dyDescent="0.3">
      <c r="A26" s="19" t="s">
        <v>79</v>
      </c>
      <c r="B26" s="19" t="s">
        <v>5</v>
      </c>
      <c r="C26" s="34"/>
      <c r="D26" s="34">
        <f>60.76-19.11</f>
        <v>41.65</v>
      </c>
      <c r="E26" s="34">
        <f>10.05-9.1</f>
        <v>0.95000000000000107</v>
      </c>
      <c r="F26" s="35">
        <v>1000</v>
      </c>
      <c r="G26" s="34"/>
      <c r="H26" s="35"/>
      <c r="I26" s="34">
        <f>(D26)+(E26*12)</f>
        <v>53.050000000000011</v>
      </c>
      <c r="J26" s="34">
        <v>19.11</v>
      </c>
      <c r="K26" s="34">
        <v>9.1</v>
      </c>
      <c r="L26" s="34">
        <f t="shared" si="2"/>
        <v>109.19999999999999</v>
      </c>
      <c r="M26" s="34">
        <f t="shared" si="0"/>
        <v>128.31</v>
      </c>
      <c r="N26" s="34">
        <f t="shared" si="1"/>
        <v>181.36</v>
      </c>
      <c r="O26" s="67" t="s">
        <v>169</v>
      </c>
      <c r="P26" s="7"/>
      <c r="Q26" s="7"/>
      <c r="R26" s="7"/>
      <c r="S26" s="7"/>
    </row>
    <row r="27" spans="1:19" ht="72.75" customHeight="1" thickBot="1" x14ac:dyDescent="0.3">
      <c r="A27" s="36" t="s">
        <v>11</v>
      </c>
      <c r="B27" s="45" t="s">
        <v>4</v>
      </c>
      <c r="C27" s="34"/>
      <c r="D27" s="34"/>
      <c r="E27" s="34">
        <f>8.51*3</f>
        <v>25.53</v>
      </c>
      <c r="F27" s="35">
        <v>3000</v>
      </c>
      <c r="G27" s="34">
        <v>7.64</v>
      </c>
      <c r="H27" s="35">
        <v>3001</v>
      </c>
      <c r="I27" s="34">
        <f>E27+(G27*9)</f>
        <v>94.289999999999992</v>
      </c>
      <c r="J27" s="34">
        <v>19.11</v>
      </c>
      <c r="K27" s="34">
        <v>9.1</v>
      </c>
      <c r="L27" s="34">
        <f t="shared" ref="L27" si="6">K27*12</f>
        <v>109.19999999999999</v>
      </c>
      <c r="M27" s="34">
        <f t="shared" si="0"/>
        <v>128.31</v>
      </c>
      <c r="N27" s="34">
        <f t="shared" si="1"/>
        <v>222.6</v>
      </c>
      <c r="O27" s="67" t="s">
        <v>107</v>
      </c>
      <c r="P27" s="7"/>
      <c r="Q27" s="7"/>
      <c r="R27" s="7"/>
      <c r="S27" s="7"/>
    </row>
    <row r="28" spans="1:19" ht="93.75" customHeight="1" thickBot="1" x14ac:dyDescent="0.3">
      <c r="A28" s="19" t="s">
        <v>210</v>
      </c>
      <c r="B28" s="19" t="s">
        <v>5</v>
      </c>
      <c r="C28" s="34"/>
      <c r="D28" s="34"/>
      <c r="E28" s="34">
        <f>11.55-9.5</f>
        <v>2.0500000000000007</v>
      </c>
      <c r="F28" s="35">
        <v>1000</v>
      </c>
      <c r="G28" s="34"/>
      <c r="H28" s="35"/>
      <c r="I28" s="34">
        <f>E28*12</f>
        <v>24.600000000000009</v>
      </c>
      <c r="J28" s="34">
        <v>19.11</v>
      </c>
      <c r="K28" s="34">
        <v>9.1</v>
      </c>
      <c r="L28" s="34">
        <f t="shared" si="2"/>
        <v>109.19999999999999</v>
      </c>
      <c r="M28" s="34">
        <f t="shared" si="0"/>
        <v>128.31</v>
      </c>
      <c r="N28" s="34">
        <f t="shared" si="1"/>
        <v>152.91000000000003</v>
      </c>
      <c r="O28" s="67" t="s">
        <v>194</v>
      </c>
      <c r="P28" s="7"/>
      <c r="Q28" s="7"/>
      <c r="R28" s="7"/>
      <c r="S28" s="7"/>
    </row>
    <row r="29" spans="1:19" ht="97.5" customHeight="1" thickBot="1" x14ac:dyDescent="0.3">
      <c r="A29" s="19" t="s">
        <v>20</v>
      </c>
      <c r="B29" s="19" t="s">
        <v>5</v>
      </c>
      <c r="C29" s="34"/>
      <c r="D29" s="34"/>
      <c r="E29" s="34">
        <f>15.05-9.1</f>
        <v>5.9500000000000011</v>
      </c>
      <c r="F29" s="35">
        <v>1000</v>
      </c>
      <c r="G29" s="34"/>
      <c r="H29" s="35"/>
      <c r="I29" s="34">
        <f>(E29)*12</f>
        <v>71.400000000000006</v>
      </c>
      <c r="J29" s="34">
        <v>19.11</v>
      </c>
      <c r="K29" s="34">
        <v>9.1</v>
      </c>
      <c r="L29" s="34">
        <f t="shared" si="2"/>
        <v>109.19999999999999</v>
      </c>
      <c r="M29" s="34">
        <f t="shared" si="0"/>
        <v>128.31</v>
      </c>
      <c r="N29" s="34">
        <f t="shared" si="1"/>
        <v>199.71</v>
      </c>
      <c r="O29" s="67" t="s">
        <v>195</v>
      </c>
      <c r="P29" s="7"/>
      <c r="Q29" s="7"/>
      <c r="R29" s="7"/>
      <c r="S29" s="7"/>
    </row>
    <row r="30" spans="1:19" ht="73.5" customHeight="1" thickBot="1" x14ac:dyDescent="0.3">
      <c r="A30" s="19" t="s">
        <v>42</v>
      </c>
      <c r="B30" s="19" t="s">
        <v>4</v>
      </c>
      <c r="C30" s="34">
        <v>1.5</v>
      </c>
      <c r="D30" s="34"/>
      <c r="E30" s="34">
        <v>4.5</v>
      </c>
      <c r="F30" s="35">
        <v>1000</v>
      </c>
      <c r="G30" s="34"/>
      <c r="H30" s="35"/>
      <c r="I30" s="34">
        <f>(C30*3)+(E30*12)</f>
        <v>58.5</v>
      </c>
      <c r="J30" s="34">
        <v>19.11</v>
      </c>
      <c r="K30" s="34">
        <v>9.1</v>
      </c>
      <c r="L30" s="34">
        <f t="shared" si="2"/>
        <v>109.19999999999999</v>
      </c>
      <c r="M30" s="34">
        <f t="shared" si="0"/>
        <v>128.31</v>
      </c>
      <c r="N30" s="34">
        <f t="shared" si="1"/>
        <v>186.81</v>
      </c>
      <c r="O30" s="67" t="s">
        <v>170</v>
      </c>
      <c r="P30" s="7"/>
      <c r="Q30" s="7"/>
      <c r="R30" s="7"/>
      <c r="S30" s="7"/>
    </row>
    <row r="31" spans="1:19" ht="66.75" customHeight="1" thickBot="1" x14ac:dyDescent="0.3">
      <c r="A31" s="19" t="s">
        <v>43</v>
      </c>
      <c r="B31" s="19" t="s">
        <v>150</v>
      </c>
      <c r="C31" s="34">
        <f>6.32/2</f>
        <v>3.16</v>
      </c>
      <c r="D31" s="34"/>
      <c r="E31" s="34">
        <v>2</v>
      </c>
      <c r="F31" s="35">
        <v>1000</v>
      </c>
      <c r="G31" s="34" t="s">
        <v>10</v>
      </c>
      <c r="H31" s="35" t="s">
        <v>10</v>
      </c>
      <c r="I31" s="34">
        <f>(C31*3)+(E31*12)</f>
        <v>33.480000000000004</v>
      </c>
      <c r="J31" s="34">
        <v>19.11</v>
      </c>
      <c r="K31" s="34">
        <v>9.1</v>
      </c>
      <c r="L31" s="34">
        <f t="shared" si="2"/>
        <v>109.19999999999999</v>
      </c>
      <c r="M31" s="34">
        <f t="shared" si="0"/>
        <v>128.31</v>
      </c>
      <c r="N31" s="34">
        <f t="shared" si="1"/>
        <v>161.79000000000002</v>
      </c>
      <c r="O31" s="67" t="s">
        <v>151</v>
      </c>
      <c r="P31" s="7"/>
      <c r="Q31" s="7"/>
      <c r="R31" s="7"/>
      <c r="S31" s="7"/>
    </row>
    <row r="32" spans="1:19" ht="72.75" customHeight="1" thickBot="1" x14ac:dyDescent="0.3">
      <c r="A32" s="27" t="s">
        <v>80</v>
      </c>
      <c r="B32" s="27" t="s">
        <v>150</v>
      </c>
      <c r="C32" s="28"/>
      <c r="D32" s="28"/>
      <c r="E32" s="28">
        <f>(3.5*3)</f>
        <v>10.5</v>
      </c>
      <c r="F32" s="29">
        <v>3000</v>
      </c>
      <c r="G32" s="28">
        <v>3.5</v>
      </c>
      <c r="H32" s="29">
        <v>3001</v>
      </c>
      <c r="I32" s="28">
        <f>(E32)+(G32*9)</f>
        <v>42</v>
      </c>
      <c r="J32" s="28">
        <v>19.11</v>
      </c>
      <c r="K32" s="28">
        <v>9.1</v>
      </c>
      <c r="L32" s="28">
        <f t="shared" si="2"/>
        <v>109.19999999999999</v>
      </c>
      <c r="M32" s="28">
        <f t="shared" si="0"/>
        <v>128.31</v>
      </c>
      <c r="N32" s="28">
        <f t="shared" si="1"/>
        <v>170.31</v>
      </c>
      <c r="O32" s="85" t="s">
        <v>152</v>
      </c>
      <c r="P32" s="7"/>
      <c r="Q32" s="7"/>
      <c r="R32" s="7"/>
      <c r="S32" s="7"/>
    </row>
    <row r="33" spans="1:19" ht="75" customHeight="1" thickBot="1" x14ac:dyDescent="0.3">
      <c r="A33" s="19" t="s">
        <v>211</v>
      </c>
      <c r="B33" s="19" t="s">
        <v>150</v>
      </c>
      <c r="C33" s="34"/>
      <c r="D33" s="34"/>
      <c r="E33" s="34">
        <f>(34.07*1.5)-19.11 -(3*9.1)</f>
        <v>4.6950000000000074</v>
      </c>
      <c r="F33" s="35">
        <v>3000</v>
      </c>
      <c r="G33" s="34">
        <f>11.3-9.1</f>
        <v>2.2000000000000011</v>
      </c>
      <c r="H33" s="35">
        <v>3001</v>
      </c>
      <c r="I33" s="34">
        <f>(E33)+(G33*9)</f>
        <v>24.495000000000019</v>
      </c>
      <c r="J33" s="34">
        <v>19.11</v>
      </c>
      <c r="K33" s="34">
        <v>9.1</v>
      </c>
      <c r="L33" s="34">
        <f t="shared" si="2"/>
        <v>109.19999999999999</v>
      </c>
      <c r="M33" s="34">
        <f t="shared" si="0"/>
        <v>128.31</v>
      </c>
      <c r="N33" s="34">
        <f t="shared" si="1"/>
        <v>152.80500000000001</v>
      </c>
      <c r="O33" s="67" t="s">
        <v>179</v>
      </c>
      <c r="P33" s="7"/>
      <c r="Q33" s="7"/>
      <c r="R33" s="7"/>
      <c r="S33" s="7"/>
    </row>
    <row r="34" spans="1:19" ht="77.25" customHeight="1" thickBot="1" x14ac:dyDescent="0.3">
      <c r="A34" s="19" t="s">
        <v>54</v>
      </c>
      <c r="B34" s="19" t="s">
        <v>4</v>
      </c>
      <c r="C34" s="34">
        <v>13.15</v>
      </c>
      <c r="D34" s="34"/>
      <c r="E34" s="34">
        <v>3.99</v>
      </c>
      <c r="F34" s="35">
        <v>1000</v>
      </c>
      <c r="G34" s="34"/>
      <c r="H34" s="35"/>
      <c r="I34" s="34">
        <f>(C34*3)+(E34*12)</f>
        <v>87.330000000000013</v>
      </c>
      <c r="J34" s="34">
        <v>19.11</v>
      </c>
      <c r="K34" s="34">
        <v>9.1</v>
      </c>
      <c r="L34" s="34">
        <f t="shared" si="2"/>
        <v>109.19999999999999</v>
      </c>
      <c r="M34" s="34">
        <f t="shared" si="0"/>
        <v>128.31</v>
      </c>
      <c r="N34" s="34">
        <f t="shared" si="1"/>
        <v>215.64000000000001</v>
      </c>
      <c r="O34" s="67" t="s">
        <v>174</v>
      </c>
      <c r="P34" s="7"/>
      <c r="Q34" s="7"/>
      <c r="R34" s="7"/>
      <c r="S34" s="7"/>
    </row>
    <row r="35" spans="1:19" x14ac:dyDescent="0.25">
      <c r="J35" s="4" t="s">
        <v>10</v>
      </c>
      <c r="L35" s="4" t="s">
        <v>10</v>
      </c>
    </row>
    <row r="36" spans="1:19" x14ac:dyDescent="0.25">
      <c r="A36" s="2" t="s">
        <v>12</v>
      </c>
      <c r="B36" s="2"/>
      <c r="C36" s="3" t="s">
        <v>36</v>
      </c>
    </row>
    <row r="38" spans="1:19" x14ac:dyDescent="0.25">
      <c r="C38" s="4" t="s">
        <v>72</v>
      </c>
    </row>
  </sheetData>
  <sheetProtection algorithmName="SHA-512" hashValue="Lh3AZLn9EgUn7FNvK621JjpbauHe10pofQ70zK6YSk/YstKI4q3IrMDlhoERwcCC6eH4/BJuuweiQOGKgvFc4w==" saltValue="DxtaT7x+RfpBpQsKB9WqkA==" spinCount="100000" sheet="1" formatCells="0" formatColumns="0" formatRows="0"/>
  <sortState xmlns:xlrd2="http://schemas.microsoft.com/office/spreadsheetml/2017/richdata2" ref="A8:O34">
    <sortCondition ref="A8:A34"/>
  </sortState>
  <pageMargins left="0.7" right="0.7" top="0.75" bottom="0.75" header="0.3" footer="0.3"/>
  <pageSetup paperSize="17"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ALCOSAN Eastern Basin</vt:lpstr>
      <vt:lpstr>ALCOSAN Southern Basin</vt:lpstr>
      <vt:lpstr>ALCOSAN Northern Basin</vt:lpstr>
      <vt:lpstr>'ALCOSAN Eastern Basin'!Print_Area</vt:lpstr>
      <vt:lpstr>'ALCOSAN Northern Basin'!Print_Area</vt:lpstr>
      <vt:lpstr>'ALCOSAN Southern Basin'!Print_Area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jbrown</dc:creator>
  <cp:lastModifiedBy>tschubert</cp:lastModifiedBy>
  <cp:lastPrinted>2020-06-08T18:10:32Z</cp:lastPrinted>
  <dcterms:created xsi:type="dcterms:W3CDTF">2010-10-20T16:43:27Z</dcterms:created>
  <dcterms:modified xsi:type="dcterms:W3CDTF">2021-05-24T20:46:55Z</dcterms:modified>
</cp:coreProperties>
</file>