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390" windowWidth="27210" windowHeight="12030" activeTab="2"/>
  </bookViews>
  <sheets>
    <sheet name="ALCOSAN Eastern Basin" sheetId="1" r:id="rId1"/>
    <sheet name="ALCOSAN Northern Basin" sheetId="2" r:id="rId2"/>
    <sheet name="ALCOSAN Southern Basin" sheetId="3" r:id="rId3"/>
  </sheets>
  <definedNames>
    <definedName name="_xlnm.Print_Area" localSheetId="0">'ALCOSAN Eastern Basin'!$A$1:$H$33</definedName>
    <definedName name="_xlnm.Print_Area" localSheetId="1">'ALCOSAN Northern Basin'!$A$1:$H$34</definedName>
    <definedName name="_xlnm.Print_Area" localSheetId="2">'ALCOSAN Southern Basin'!$A$1:$H$43</definedName>
  </definedNames>
  <calcPr calcId="125725"/>
</workbook>
</file>

<file path=xl/calcChain.xml><?xml version="1.0" encoding="utf-8"?>
<calcChain xmlns="http://schemas.openxmlformats.org/spreadsheetml/2006/main">
  <c r="H30" i="1"/>
  <c r="B21" i="3"/>
  <c r="H43"/>
  <c r="F43"/>
  <c r="H23" i="2"/>
  <c r="F23"/>
  <c r="D40" i="3"/>
  <c r="B40"/>
  <c r="D34"/>
  <c r="D17"/>
  <c r="D13"/>
  <c r="D9"/>
  <c r="D33" i="2"/>
  <c r="D32"/>
  <c r="B23"/>
  <c r="D21"/>
  <c r="C21" l="1"/>
  <c r="H33"/>
  <c r="F19" i="1" l="1"/>
  <c r="D19"/>
  <c r="H32" i="3"/>
  <c r="D32"/>
  <c r="C32"/>
  <c r="H13" i="2"/>
  <c r="F13"/>
  <c r="D13"/>
  <c r="C13"/>
  <c r="F29" i="3"/>
  <c r="H29" s="1"/>
  <c r="D29"/>
  <c r="D24" i="2"/>
  <c r="C24"/>
  <c r="F28" i="3"/>
  <c r="D28"/>
  <c r="D20"/>
  <c r="B20"/>
  <c r="D29" i="2"/>
  <c r="D28"/>
  <c r="D14"/>
  <c r="C14"/>
  <c r="D30" i="1" l="1"/>
  <c r="D11" i="3"/>
  <c r="B11"/>
  <c r="D22" l="1"/>
  <c r="D29" i="1"/>
  <c r="C29"/>
  <c r="H27"/>
  <c r="H16"/>
  <c r="D16"/>
  <c r="H22"/>
  <c r="H30" i="2"/>
  <c r="H34"/>
  <c r="H28" i="1"/>
  <c r="D13"/>
  <c r="C13"/>
  <c r="D8"/>
  <c r="C8"/>
  <c r="F33" i="2"/>
  <c r="D30" i="3" l="1"/>
  <c r="C30"/>
  <c r="D33"/>
  <c r="C33"/>
  <c r="D25" i="1"/>
  <c r="C25"/>
  <c r="D18"/>
  <c r="C31" i="2"/>
  <c r="H12" i="1"/>
  <c r="D12" l="1"/>
  <c r="D20"/>
  <c r="C20"/>
  <c r="D26" i="2"/>
  <c r="C26"/>
  <c r="D10" i="3"/>
  <c r="B10"/>
  <c r="L23" i="1" l="1"/>
  <c r="K23"/>
  <c r="H23"/>
  <c r="M23" s="1"/>
  <c r="D23"/>
  <c r="K27" i="2"/>
  <c r="L27" s="1"/>
  <c r="H27"/>
  <c r="D27"/>
  <c r="D31" i="3"/>
  <c r="M27" i="2" l="1"/>
  <c r="M24" i="1"/>
  <c r="H42" i="3"/>
  <c r="H24" i="1"/>
  <c r="D23" i="3"/>
  <c r="B23"/>
  <c r="D17" i="2"/>
  <c r="D22"/>
  <c r="C17"/>
  <c r="C22"/>
  <c r="D41" i="3"/>
  <c r="B41"/>
  <c r="B27" l="1"/>
  <c r="D8" l="1"/>
  <c r="B8"/>
  <c r="D27"/>
  <c r="B15" l="1"/>
  <c r="D15"/>
  <c r="F21" i="1"/>
  <c r="D21"/>
  <c r="H36" i="3" l="1"/>
  <c r="K22" i="2"/>
  <c r="L22" s="1"/>
  <c r="K23"/>
  <c r="L23" s="1"/>
  <c r="K24"/>
  <c r="L24" s="1"/>
  <c r="K25"/>
  <c r="L25" s="1"/>
  <c r="K26"/>
  <c r="L26" s="1"/>
  <c r="K28"/>
  <c r="L28" s="1"/>
  <c r="K29"/>
  <c r="L29" s="1"/>
  <c r="K30"/>
  <c r="L30" s="1"/>
  <c r="K31"/>
  <c r="L31" s="1"/>
  <c r="K32"/>
  <c r="L32" s="1"/>
  <c r="K33"/>
  <c r="L33" s="1"/>
  <c r="K34"/>
  <c r="L34" s="1"/>
  <c r="K9"/>
  <c r="L9" s="1"/>
  <c r="K10"/>
  <c r="L10" s="1"/>
  <c r="K11"/>
  <c r="L11" s="1"/>
  <c r="K12"/>
  <c r="L12" s="1"/>
  <c r="K13"/>
  <c r="L13" s="1"/>
  <c r="K14"/>
  <c r="L14" s="1"/>
  <c r="K15"/>
  <c r="L15" s="1"/>
  <c r="K16"/>
  <c r="L16" s="1"/>
  <c r="K17"/>
  <c r="L17" s="1"/>
  <c r="K18"/>
  <c r="L18" s="1"/>
  <c r="K19"/>
  <c r="L19" s="1"/>
  <c r="K20"/>
  <c r="L20" s="1"/>
  <c r="K21"/>
  <c r="L21" s="1"/>
  <c r="K8"/>
  <c r="L8" s="1"/>
  <c r="K9" i="1"/>
  <c r="K10"/>
  <c r="L10" s="1"/>
  <c r="K11"/>
  <c r="L11" s="1"/>
  <c r="K12"/>
  <c r="L12" s="1"/>
  <c r="K13"/>
  <c r="K14"/>
  <c r="L14" s="1"/>
  <c r="K15"/>
  <c r="L15" s="1"/>
  <c r="K16"/>
  <c r="L16" s="1"/>
  <c r="K17"/>
  <c r="K18"/>
  <c r="L18" s="1"/>
  <c r="K19"/>
  <c r="L19" s="1"/>
  <c r="K20"/>
  <c r="L20" s="1"/>
  <c r="K21"/>
  <c r="K22"/>
  <c r="L22" s="1"/>
  <c r="K24"/>
  <c r="L24" s="1"/>
  <c r="K25"/>
  <c r="K26"/>
  <c r="L26" s="1"/>
  <c r="K27"/>
  <c r="L27" s="1"/>
  <c r="K28"/>
  <c r="L28" s="1"/>
  <c r="K29"/>
  <c r="K30"/>
  <c r="L30" s="1"/>
  <c r="K31"/>
  <c r="L31" s="1"/>
  <c r="K32"/>
  <c r="L32" s="1"/>
  <c r="K33"/>
  <c r="L9"/>
  <c r="L13"/>
  <c r="L17"/>
  <c r="L21"/>
  <c r="L25"/>
  <c r="L29"/>
  <c r="L33"/>
  <c r="K8"/>
  <c r="L8" s="1"/>
  <c r="L9" i="3"/>
  <c r="L10"/>
  <c r="L11"/>
  <c r="L12"/>
  <c r="L13"/>
  <c r="L14"/>
  <c r="L15"/>
  <c r="L16"/>
  <c r="L17"/>
  <c r="L18"/>
  <c r="L19"/>
  <c r="L20"/>
  <c r="L21"/>
  <c r="L22"/>
  <c r="L23"/>
  <c r="L24"/>
  <c r="L25"/>
  <c r="L26"/>
  <c r="L27"/>
  <c r="L28"/>
  <c r="L29"/>
  <c r="L30"/>
  <c r="L31"/>
  <c r="L32"/>
  <c r="L33"/>
  <c r="L34"/>
  <c r="L35"/>
  <c r="L8"/>
  <c r="K9"/>
  <c r="K10"/>
  <c r="K11"/>
  <c r="K12"/>
  <c r="K13"/>
  <c r="K14"/>
  <c r="K15"/>
  <c r="K16"/>
  <c r="K17"/>
  <c r="K18"/>
  <c r="K19"/>
  <c r="K20"/>
  <c r="K21"/>
  <c r="K22"/>
  <c r="K23"/>
  <c r="K24"/>
  <c r="K25"/>
  <c r="K26"/>
  <c r="K27"/>
  <c r="K28"/>
  <c r="K29"/>
  <c r="K30"/>
  <c r="K31"/>
  <c r="K32"/>
  <c r="K33"/>
  <c r="K34"/>
  <c r="K35"/>
  <c r="K8"/>
  <c r="L37"/>
  <c r="L41"/>
  <c r="K37"/>
  <c r="K38"/>
  <c r="L38" s="1"/>
  <c r="K39"/>
  <c r="L39" s="1"/>
  <c r="K40"/>
  <c r="L40" s="1"/>
  <c r="K41"/>
  <c r="K42"/>
  <c r="L42" s="1"/>
  <c r="K43"/>
  <c r="L43" s="1"/>
  <c r="K36"/>
  <c r="H31"/>
  <c r="H31" i="1" l="1"/>
  <c r="H15" i="2"/>
  <c r="H26" l="1"/>
  <c r="H13" i="3"/>
  <c r="H35" l="1"/>
  <c r="H29" i="2" l="1"/>
  <c r="H28"/>
  <c r="H18" l="1"/>
  <c r="H15" i="3" l="1"/>
  <c r="H33"/>
  <c r="H30" l="1"/>
  <c r="H26" i="1"/>
  <c r="D19" i="3"/>
  <c r="H19" i="1" l="1"/>
  <c r="H18"/>
  <c r="H13"/>
  <c r="H24" i="2"/>
  <c r="H23" i="3" l="1"/>
  <c r="H21" i="1"/>
  <c r="H10"/>
  <c r="H11"/>
  <c r="H14"/>
  <c r="M14" s="1"/>
  <c r="H15"/>
  <c r="H17"/>
  <c r="H29"/>
  <c r="H32"/>
  <c r="H33"/>
  <c r="H9"/>
  <c r="H8"/>
  <c r="H9" i="2"/>
  <c r="H10"/>
  <c r="H11"/>
  <c r="H12"/>
  <c r="H19"/>
  <c r="H20"/>
  <c r="H21"/>
  <c r="H22"/>
  <c r="H25"/>
  <c r="H31"/>
  <c r="H8"/>
  <c r="H9" i="3"/>
  <c r="H11"/>
  <c r="H12"/>
  <c r="H14"/>
  <c r="H16"/>
  <c r="H17"/>
  <c r="H18"/>
  <c r="H21"/>
  <c r="H25"/>
  <c r="H26"/>
  <c r="H34"/>
  <c r="H37"/>
  <c r="H38"/>
  <c r="H40"/>
  <c r="D24"/>
  <c r="H24" s="1"/>
  <c r="H14" i="2"/>
  <c r="H39" i="3"/>
  <c r="H22"/>
  <c r="H17" i="2" l="1"/>
  <c r="H20" i="1"/>
  <c r="H10" i="3"/>
  <c r="H27"/>
  <c r="H8"/>
  <c r="H41"/>
  <c r="H28"/>
  <c r="H20"/>
  <c r="M32"/>
  <c r="H25" i="1"/>
  <c r="H16" i="2"/>
  <c r="H19" i="3" l="1"/>
  <c r="L36" l="1"/>
  <c r="M29"/>
  <c r="M33" i="2"/>
  <c r="M31"/>
  <c r="M30"/>
  <c r="M29"/>
  <c r="M28"/>
  <c r="M26"/>
  <c r="M23"/>
  <c r="M18"/>
  <c r="M16"/>
  <c r="M15"/>
  <c r="M14"/>
  <c r="M13"/>
  <c r="M10"/>
  <c r="M27" i="1"/>
  <c r="M25"/>
  <c r="M20"/>
  <c r="M19"/>
  <c r="M16"/>
  <c r="M15"/>
  <c r="M13"/>
  <c r="M12"/>
  <c r="M17" i="2" l="1"/>
  <c r="M10" i="3"/>
  <c r="M22" i="2"/>
  <c r="M19"/>
  <c r="M20"/>
  <c r="M21"/>
  <c r="M24"/>
  <c r="M25"/>
  <c r="M34"/>
  <c r="M9"/>
  <c r="M11"/>
  <c r="M12"/>
  <c r="M8"/>
  <c r="M21" i="1"/>
  <c r="M22"/>
  <c r="M18"/>
  <c r="M9"/>
  <c r="M10"/>
  <c r="M11"/>
  <c r="M17"/>
  <c r="M26"/>
  <c r="M28"/>
  <c r="M29"/>
  <c r="M30"/>
  <c r="M31"/>
  <c r="M32"/>
  <c r="M33"/>
  <c r="M8"/>
  <c r="M16" i="3"/>
  <c r="M17"/>
  <c r="M18"/>
  <c r="M19"/>
  <c r="M20"/>
  <c r="M21"/>
  <c r="M22"/>
  <c r="M23"/>
  <c r="M24"/>
  <c r="M25"/>
  <c r="M26"/>
  <c r="M27"/>
  <c r="M28"/>
  <c r="M30"/>
  <c r="M31"/>
  <c r="M33"/>
  <c r="M34"/>
  <c r="M35"/>
  <c r="M36"/>
  <c r="M37"/>
  <c r="M38"/>
  <c r="M39"/>
  <c r="M40"/>
  <c r="M41"/>
  <c r="M42"/>
  <c r="M43"/>
  <c r="M8"/>
  <c r="M9"/>
  <c r="M11"/>
  <c r="M12"/>
  <c r="M13"/>
  <c r="M14"/>
  <c r="M15"/>
  <c r="H32" i="2"/>
  <c r="M32" s="1"/>
</calcChain>
</file>

<file path=xl/sharedStrings.xml><?xml version="1.0" encoding="utf-8"?>
<sst xmlns="http://schemas.openxmlformats.org/spreadsheetml/2006/main" count="297" uniqueCount="211">
  <si>
    <t>Eastern Basin</t>
  </si>
  <si>
    <t xml:space="preserve">    Service Charge</t>
  </si>
  <si>
    <t>Tier 1*</t>
  </si>
  <si>
    <t>ALCOSAN Charge</t>
  </si>
  <si>
    <t>Monthly</t>
  </si>
  <si>
    <t>Quarterly</t>
  </si>
  <si>
    <t>Rate</t>
  </si>
  <si>
    <t>Gallons</t>
  </si>
  <si>
    <t>from</t>
  </si>
  <si>
    <t>Service Fee</t>
  </si>
  <si>
    <t xml:space="preserve"> </t>
  </si>
  <si>
    <t>Pittsburgh</t>
  </si>
  <si>
    <t>NOTES:</t>
  </si>
  <si>
    <t>Northern Basin</t>
  </si>
  <si>
    <t>Sharpsburg</t>
  </si>
  <si>
    <t>Southern Basin</t>
  </si>
  <si>
    <t>South Fayette</t>
  </si>
  <si>
    <t>Oakdale</t>
  </si>
  <si>
    <t>Upper St. Clair</t>
  </si>
  <si>
    <t>Kennedy</t>
  </si>
  <si>
    <t>Wall</t>
  </si>
  <si>
    <t>Whitehall</t>
  </si>
  <si>
    <t>Ohio Twp. Sanitary Auth.</t>
  </si>
  <si>
    <t xml:space="preserve">Etna </t>
  </si>
  <si>
    <t>Castle Shannon</t>
  </si>
  <si>
    <t>Verona</t>
  </si>
  <si>
    <t xml:space="preserve">Indiana - Ottawa </t>
  </si>
  <si>
    <t xml:space="preserve">Indiana - Fairview </t>
  </si>
  <si>
    <t xml:space="preserve">Reserve </t>
  </si>
  <si>
    <t>Reserve - Girtys Run Cust.</t>
  </si>
  <si>
    <t xml:space="preserve">McCandless </t>
  </si>
  <si>
    <t>Base</t>
  </si>
  <si>
    <t>O'Hara</t>
  </si>
  <si>
    <t>Braddock</t>
  </si>
  <si>
    <t>East Pittsburgh</t>
  </si>
  <si>
    <t>Penn Hills</t>
  </si>
  <si>
    <t>Plum**</t>
  </si>
  <si>
    <t>Rankin</t>
  </si>
  <si>
    <t>** For Plum Borough, rates are based on cubic feet…..these values converted to gallons for this comparison.</t>
  </si>
  <si>
    <t>Wilkinsburg</t>
  </si>
  <si>
    <t xml:space="preserve">Aspinwall </t>
  </si>
  <si>
    <t xml:space="preserve">Blawnox </t>
  </si>
  <si>
    <t xml:space="preserve">Scott </t>
  </si>
  <si>
    <t xml:space="preserve">Quarterly ALCOSAN </t>
  </si>
  <si>
    <t>ALCOSAN Base Rate</t>
  </si>
  <si>
    <t>Per 1,000 gallons</t>
  </si>
  <si>
    <t>Municipality/ Authority</t>
  </si>
  <si>
    <t>Municipality/ 
Authority</t>
  </si>
  <si>
    <t xml:space="preserve">        Service Charge</t>
  </si>
  <si>
    <t>Total Charge</t>
  </si>
  <si>
    <t>Total municipal Charge/Quarter</t>
  </si>
  <si>
    <t>Based on 13,000 gallons</t>
  </si>
  <si>
    <t>Based on 13,000 Gallons</t>
  </si>
  <si>
    <t>Total ALCOSAN Charge/Quarter</t>
  </si>
  <si>
    <t>(Municipal + ALCOSAN)</t>
  </si>
  <si>
    <t xml:space="preserve">* Tiered rates are $/1,000 gallons starting at the gallon level listed. Ex: If the tier says $1.18 at 3,001, that means the rate is $1.18 for every 1,000 gallons over 3,000. </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</si>
  <si>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</si>
  <si>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</si>
  <si>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Per Jerry Brown survey response. reduced monthly service fee from $6.80 to $6.44 (decrease of 5.3%) and increased rate per 1,000/gal from $3.34 to $3.56 (increase of 3.8%).   </t>
  </si>
  <si>
    <t>2019 Residential Rate Comparison</t>
  </si>
  <si>
    <t>Total Municipal Charges below are based on 13,000 GALLONS/QUARTER before ALCOSAN fees.</t>
  </si>
  <si>
    <t xml:space="preserve">Total Quarterly Charge (Municipal + ALCOSAN)
</t>
  </si>
  <si>
    <t>Collier^</t>
  </si>
  <si>
    <t xml:space="preserve">Munhall^ </t>
  </si>
  <si>
    <t>Baldwin Borough^</t>
  </si>
  <si>
    <t>Notes</t>
  </si>
  <si>
    <t>Survey from Jackie Coles, $16.00/Mo. Scvs charge &amp; $11.50/KG.  Phone call clarified that it includes ALCOSAN fees.  No overall increase so Munhall absorbed ALCOSAN's increase.</t>
  </si>
  <si>
    <t xml:space="preserve">Survey from Marinda Henze. $17/mo. scvs. Charge and 8.58/1,000 gal.  Includes ALCOSAN fee.  No overall rate increase this year so West Mifflin absorbed ALCOSAN's increase. </t>
  </si>
  <si>
    <t>West Mifflin^</t>
  </si>
  <si>
    <t>As per survey from Lori Thompson and Pattie Asturi (Feb 2019)  Overall rates did not increase. $12.65/kg, $6.20 monthly s.c.  Phone call with Lori Thompson clarified that it includes ALCOSAN fees. Collier absorbed ALCOSAN's increase.</t>
  </si>
  <si>
    <t xml:space="preserve">As per survey from Lori Collins(Feb 2019).  Municipal rate of 6.23/1,000 gal did not increase. Overall rates only increased by ALCOSAN's new charges. </t>
  </si>
  <si>
    <t>As per survey from Dave Montz (Feb 2019)  Overall rates only increased by ALCOSAN's increase. Municipal rate of $5.00/1,000 did not increase. Phone call with Dave clarified this.</t>
  </si>
  <si>
    <t>Franklin Park</t>
  </si>
  <si>
    <t>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</si>
  <si>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Survey from Gloria Stroop (Feb. 2019) $24.7/SC; $10.50/MG incls. ALCOSAN rates.  Municipal rate did not increase from 2018.  No overall increase so McDonald absorbed ALCOSAN's increase.</t>
  </si>
  <si>
    <t>McDonald^</t>
  </si>
  <si>
    <t>Per survey from Steve Morus (Feb. 2019), the municipal sewer rates of $4.75/1,000 gal did not increase.  The overall total bill only increased by ALCOSAN's increase of $7.85</t>
  </si>
  <si>
    <t>Per survey from Stephanie Schwoegel (Feb. 2019), the municipal sewer rates of $4.50/1,000 gal did not increase.  The overall total bill only increased by ALCOSAN's increase of $7.85.  (Billing done by WPJWA)</t>
  </si>
  <si>
    <t>Survey from Rob Zahorchak; Same rate as 2018 $4.70/1,000.  Does not include ALCOSAN rates.  The overall total bill only increased by ALCOSAN's increase of $7.85</t>
  </si>
  <si>
    <t>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</si>
  <si>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Per survey from Jean Warren, municipal flat rate of $11.89/4,500 gallons min. usage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</si>
  <si>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</si>
  <si>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</si>
  <si>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 xml:space="preserve">Survey completed by Teresa Windstein (Feb. 2019).  Mt. Lebanon rate $4.05/1,000 and no flat service feel.  The total overall sewer fee only increased by the ALCOSAN increase ($7.85) </t>
  </si>
  <si>
    <t>Bethel Park^</t>
  </si>
  <si>
    <t xml:space="preserve">Survey completed by Stacey Graf.  $15 monthly service charge and $9/1,000 includes all ALCOSAN charges. Stacey provided details in the notes that confirms this.  Bethel Park absorbed ALCOSAN's increase so there is no overall increase in the total sewer rates from 2018. </t>
  </si>
  <si>
    <t xml:space="preserve">Survey completed by Marsha Grom (Feb. 2019). Ohio Twp flat service fee of $60.76 stayed the same from 2018, but usage rate increased by 7% to $10.05/1,000 gal.  They bill quarterly. These fees includes ALCOSAN rates.  </t>
  </si>
  <si>
    <t>Survey completed by Sue Brown (Feb. 2019). Billing is every two months: $17.82 service charge; $4.07/1,000.  Etna's rates increased by 7% along with ALCOSAN's rate increase.  This rate structure does not include ALCOSAN fees.</t>
  </si>
  <si>
    <t>Survey completed by Tom O'Grady (Feb. 2019). Penn Hills rates increased  proportional to ALCOSAN's rate increase. $30 service fee/quarterly and $19.37/1,000.  Both include ALCOSAN's fees.</t>
  </si>
  <si>
    <t>Survey completed by RJ Susko (Feb. 2019).  Crafton rates have remained the same as 2018.  Bill monthly. $2.25 monthly service fee and $8.40/1,000 gal.  This rate does not include ALCOSAN's rates so the overall sewer rate has only increased by ALCOSAN's rate increase.</t>
  </si>
  <si>
    <t>Survey completed  Doug Sample (March 2019). Rates stayed the same.  Only the ALCOSAN increase.</t>
  </si>
  <si>
    <t xml:space="preserve">Ross^ </t>
  </si>
  <si>
    <t>Shaler^</t>
  </si>
  <si>
    <t xml:space="preserve">Survey completed by Judith Kording (March 2019). $6.32 flat service charge every two months. No rate increase other than ALCOSAN. </t>
  </si>
  <si>
    <t>North Huntingdon^</t>
  </si>
  <si>
    <t>North Versailles^</t>
  </si>
  <si>
    <t xml:space="preserve">Shane Lanham completed the survey.  They bill monthly through WPJWA. He indicated no increase in sewage rates but they charge 30% of the total ALCOSAN sewage charge so while the percentage did not increase, the total sewer bill did due to ALCOSAN's increase. </t>
  </si>
  <si>
    <t>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</si>
  <si>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 xml:space="preserve">Survey completed by Darrin Niemeyer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</si>
  <si>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 xml:space="preserve">Robinson^ </t>
  </si>
  <si>
    <t>Survey completed by Mark Romito (March 2019) Multiplier set at 2.00 times ALCOSAN rates….monthly service charge $5.56 &amp; $7.94/1,000 gallons.  Overall the muncipal portion of the bill increased by 1.9% according to Mark.</t>
  </si>
  <si>
    <t>Churchill^</t>
  </si>
  <si>
    <t>Survey completed by Mary Kay Fiore (March 2019). Churchill only charges a usage rate of $6.00/1,000 gallons plus ALCOSAN fees.  No increase for 2019.  Bill monthly.</t>
  </si>
  <si>
    <t xml:space="preserve">Swissvale^ </t>
  </si>
  <si>
    <t>Survey completed by Diane Turley (March 2019).  They only charge $3.50/1,000 gallons plus ALCOSAN fees.  The municipal portion of the bill did not increase; only the ALCOSAN portion.</t>
  </si>
  <si>
    <t>Survey completed by Denise Fitzgerald (March 2019).  Municipal rate increased 50% from $1.50/1,000 gal to $3.00/1,000 gal in 2019 plus ALCOSAN rates.</t>
  </si>
  <si>
    <t>Thornburg</t>
  </si>
  <si>
    <t>Survey completed by Dorothy Falk (March 2019).  ALCOSAN bills customers directly.  Thornburg does not charge an additional municipal fee.</t>
  </si>
  <si>
    <t>Survey completed by Lorraine Makatura (March 2019).  Avalon has not increased its rates since they began implementing a municipal fee in 2005.</t>
  </si>
  <si>
    <t>Survey completed by Enoch Jenkins (March 2019).  $36.00 service charge and $7.15/1,000 gallons.  These include ALCOSAN rates.  Peters has only a few ALCOSAN customers so they absorb the cost of the additional ALCOSAN rates for those customers.</t>
  </si>
  <si>
    <t>3/7/19: Phone call with Cheryl Sorrentino Borough Secretary.  ALCOSAN rates are listed separately on the bill.  The overall total bill only increased by ALCOSAN's increase. (Billing done by WPJWA)</t>
  </si>
  <si>
    <t>Chalfant^</t>
  </si>
  <si>
    <t>Edgewood^</t>
  </si>
  <si>
    <t>Survey completed by  Rebecca Vargo, but it only included ALCOSAN charges.  Called WPJWA who does their billing and confirmed that the rate is the same as 2018. $5 for the first 1,000 gallons and $2.50/1,000 after that plus ALCOSAN</t>
  </si>
  <si>
    <t>Wilkins^</t>
  </si>
  <si>
    <t>Survey completed by Deborah Brown (March 2019). They charge 35% of ALCOSAN's fees as their municipal fee.</t>
  </si>
  <si>
    <t xml:space="preserve">Billed by WPJWA.  Called WPJWA to confirm the rates. (April 2019) East Pittsburgh local rates are 50% of ALCOSAN charges. </t>
  </si>
  <si>
    <t>North Braddock^</t>
  </si>
  <si>
    <t>Pitcairn^</t>
  </si>
  <si>
    <t>Braddock Hills^</t>
  </si>
  <si>
    <t>Forest Hills^</t>
  </si>
  <si>
    <t>WPJWA does the billing;  Called WPJWA to confirm the rates. (April 2019) $5.75/1,000 gallons.  No municipal rate increase.</t>
  </si>
  <si>
    <t xml:space="preserve">Survey from Stan Caroline $90.01/3KG; $8.75/KG over 3KG. Quarterly. Phone call clarified that it Includes ALCOSAN fees. They said their rate increased by 1.74% </t>
  </si>
  <si>
    <t xml:space="preserve">WPJWA does the billing;  Called WPJWA to confirm the rates. (April 2019) $4.50/1,000 gallons and .83334/mo service charge. </t>
  </si>
  <si>
    <t>Survey completed by Julie Pantalone (March 2019) but she only included the ALCOSAN fees. WPJWA does the billing;  Called WPJWA to confirm the rates.  They remain $2.50/1,000 gallons; the same as 2018.</t>
  </si>
  <si>
    <t>Turtle Creek^</t>
  </si>
  <si>
    <t>WPJWA does the billing;  Called WPJWA to confirm the rates. (April 2019) $1.75/1,000 gallons.  The municipal rate increased a quarter from 1.50/1,000 in 2018.</t>
  </si>
  <si>
    <t>Wilmerding^</t>
  </si>
  <si>
    <t>WPJWA does the billing;  Called WPJWA to confirm the rates. (April 2019) $3.00/1,000 gallons.  The municipal rate stayed the same as 2018.</t>
  </si>
  <si>
    <t>Survey completed by Michele Garvey (April 2019).  Rates did not change from 2018.  Bill monthly.  $3.99/1,000 gallons and $13.15/monthly service charge.</t>
  </si>
  <si>
    <t>West View^</t>
  </si>
  <si>
    <t>Mt. Oliver^</t>
  </si>
  <si>
    <t>Survey completed by Rick Hopkinson. (March 2019).  No rate change from 2018.  Remains $7.12/thousand plus all ALCOSAN charges.</t>
  </si>
  <si>
    <t>Monroeville^</t>
  </si>
  <si>
    <t>2019 rate data was obtained from a news page on the Monroeville Authority website.  https://www.monroevillewater.org/csa/2019-water-and-sewer-rates  Rates remain at $12.75/1,000 gal which incl. ALCOSAN's usage fee of $7.94.</t>
  </si>
  <si>
    <t>Trafford^</t>
  </si>
  <si>
    <t xml:space="preserve">Obtained 2019 rate information from Trafford website http://www.traffordborough.com/sewage-dept  Rates remained the same as 2018. $18 quarterly service charge and $6.00/1,00 gallons with a minimum charge of $36 for 6,000 gallons. </t>
  </si>
  <si>
    <t>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</si>
  <si>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Phone call with Rob Borczyk (April 2019) confirmed there is no increase in municipal sewer rates from 2018.  They remain $2.00 quarterly service charge and $2.50/1,000 gallon usage. </t>
  </si>
  <si>
    <t>Bellevue^</t>
  </si>
  <si>
    <t xml:space="preserve">Data on 2019 sewer rates obtained online. (April 2019) http://www.kennedytwp.com/sewer-department/  Increased from $9.10/1,000 in 2018 to $9.75/1,000.  Includes ALCOSAN fees.  </t>
  </si>
  <si>
    <t>2019 sewer rates obtained from Fox Chapel Water Authority website. http://www.foxchapelwater.com/rates-and-fees/ (April 2019)</t>
  </si>
  <si>
    <t>Fox Chapel^</t>
  </si>
  <si>
    <t>Shaler - Girty's Run Area^</t>
  </si>
  <si>
    <t>Survey completed by Caitlin Hornyak. (March 2019): Email clarified that ALCOSAN rates were included in the $11.52/1,000 rate and 6.75 flat charge.  Overall rates did not increase so Baldwin absorbed ALCOSAN's increase.</t>
  </si>
  <si>
    <t>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</si>
  <si>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Brentwood^</t>
  </si>
  <si>
    <t xml:space="preserve">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</si>
  <si>
    <t xml:space="preserve">Spoke by phone with Dawn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</si>
  <si>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Spoke with Terrie Patsch (April 2019) ALCOSAN bills Ben Avon customers directly; Terrie suggested speaking with Ben Avon's Finance Director Ken Opippery who confirmed that  Ben Avon does not have any municipal sewage charge. </t>
  </si>
  <si>
    <t>Ben Avon Heights^</t>
  </si>
  <si>
    <t xml:space="preserve">Emsworth^ </t>
  </si>
  <si>
    <t>Spoke with Cathy/Kathy at Emsworth in the sewage office. (April 2019).  Bill quarterly. Their rates include ALCOSAN's. They did not increase the municipal rate from 2018.  Only ALCOSAN's rate went up. $18.69/service charge and $13.29/1,000 gallons</t>
  </si>
  <si>
    <t xml:space="preserve">Indiana - Middle Rd. I &amp; II  </t>
  </si>
  <si>
    <t>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</si>
  <si>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</si>
  <si>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 xml:space="preserve">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</si>
  <si>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</si>
  <si>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 xml:space="preserve">Phone call with Kim at Reserve (April 2019)  $10.08/kg including ALCOSAN rate.  No service charge. About a 7% increase in municipal charge from $2.00 to $2.14/1,000 gallons. </t>
  </si>
  <si>
    <t xml:space="preserve">Phone call with Kim at Reserve (April 2019)  $12.58/kg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</si>
  <si>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 xml:space="preserve">Phone call with Lauren Zang, Borough Manager (April 2019) confirmed that Homestead rates remained the same even though ALCOSAN charges increased.  Homestead just absorbs the increase. $9.27 monthly service charge and $10.87/1,000 gallons both of which include ALCOSAN fees. </t>
  </si>
  <si>
    <t>Ingram^</t>
  </si>
  <si>
    <t>North Fayette^</t>
  </si>
  <si>
    <t>McKees Rocks^</t>
  </si>
  <si>
    <t>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</si>
  <si>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Neville^ </t>
  </si>
  <si>
    <t>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</si>
  <si>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</si>
  <si>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 xml:space="preserve">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</si>
  <si>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Confirmed rates with Kathy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</si>
  <si>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r>
      <t xml:space="preserve">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</si>
  <si>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 xml:space="preserve">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 KG.  Alcosan rates are not listed separately on the bill.
</t>
  </si>
  <si>
    <r>
      <t xml:space="preserve">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Removing ALCOSAN's charges from the total leaves a $36.99 flat municipal rate.</t>
    </r>
  </si>
  <si>
    <t>Bridgeville^</t>
  </si>
  <si>
    <t>Crafton^</t>
  </si>
  <si>
    <t>Green Tree^</t>
  </si>
  <si>
    <t>Heidelberg^</t>
  </si>
  <si>
    <t>Homestead^</t>
  </si>
  <si>
    <t>Mt. Lebanon^</t>
  </si>
  <si>
    <t>Peters Township^</t>
  </si>
  <si>
    <t>Whitaker^</t>
  </si>
  <si>
    <t>East McKeesport^</t>
  </si>
  <si>
    <t>Penn Township^</t>
  </si>
  <si>
    <t>Avalon^</t>
  </si>
  <si>
    <t>Ben Avon^</t>
  </si>
  <si>
    <t>Pleasant Hills^</t>
  </si>
  <si>
    <t xml:space="preserve">ALCOSAN provides minimal service (like 6 homes), they have their own treatment plant.  4/16/19 Spoke with Kelly, the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</si>
  <si>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 xml:space="preserve">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</si>
  <si>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 xml:space="preserve">As of 4/16/19: no rate change has been reported for 2019 to Jordan Tax Service who does the billing. </t>
  </si>
  <si>
    <t>Kilbuck^</t>
  </si>
  <si>
    <t xml:space="preserve">2019 rates confirmed with Jordan Tax Service who does the billing.  $18.69 quarterly fee and $11.94/1,000 gallons usage.  Both include ALCOSAN fees.  Rates only went up by ALCOSAN's increase. </t>
  </si>
  <si>
    <t xml:space="preserve">Millvale - Girty's Run^ </t>
  </si>
  <si>
    <t xml:space="preserve">Survey completed by Judith Kording (March 2019). $8.50 flat service charge every two months for a minimum usage of 3,000 gallons. No rate increase other than ALCOSAN. Base minimum rate was multiplied by 1.5 to represent the third month in the quarter. </t>
  </si>
  <si>
    <t>Survey completed by Barb Ruhie.  Sharpsburg bills every two months.  It provided conflicting information so the rates were confirmed with a call to Hampton Water/Sewer Authority (4/17/19) who does the billing Flat rate increased from $31.74 to $32.46/3,000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</si>
  <si>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Baldwin Township^</t>
  </si>
  <si>
    <t>2019 rates were obtained from JORDAN TAX SERVICE (4/16/19).  Municipal rates are same as 2018.  $13.44/1,000, which includes ALCOSAN usage rate.  The municipal usage fee remains at $5.50/1,000.  Overall bill only increased by ALCOSAN's increase.</t>
  </si>
  <si>
    <t>Carnegie^</t>
  </si>
  <si>
    <t>2019 rates were obtained from JORDAN TAX SERVICE (4/16/19).  Municipal rates are same as 2018.  $14.29/1,000, which includes ALCOSAN usage rate.  The municipal usage fee remains at $6.35/1,000.  Overall bill only increased by ALCOSAN's increase.</t>
  </si>
  <si>
    <t>2019 rates were obtained from JORDAN TAX SERVICE (4/16/19).  Municipal rates are same as 2018.  $12.44/1,000, which includes ALCOSAN usage rate.  The municipal usage fee remains at $4.50/1,000.  Overall bill only increased by ALCOSAN's increase.</t>
  </si>
  <si>
    <t>Dormont^</t>
  </si>
  <si>
    <t>2019 rates were obtained from JORDAN TAX SERVICE (4/16/19).  Municipal rates are same as 2018.  $13.94/1,000, which includes ALCOSAN usage rate.  The municipal usage fee remains at $6.00/1,000.  Overall bill only increased by ALCOSAN's increase.</t>
  </si>
  <si>
    <t>Rosslyn Farms ^</t>
  </si>
  <si>
    <t>Stowe^</t>
  </si>
  <si>
    <t>West Homestead^</t>
  </si>
  <si>
    <t>2019 rates were obtained from JORDAN TAX SERVICE (4/16/19).  Municipal rates are same as 2018.  $6.84/monthly service fee and $12.49/1,000. Both include ALCOSAN rates.  The municipal fees remaiin at $1.28/mo service fee and  $4.55/1,000.  Overall bill only increased by ALCOSAN's increase.</t>
  </si>
  <si>
    <t xml:space="preserve">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and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</si>
  <si>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2019 rates were obtained from JORDAN TAX SERVICE (4/16/19).  Municipal usage rate increased by 30 cents from $4.30 to $4.60  (about 6% increase).  $12.54/1,000.  includes ALCOSAN rates.  They bill quarterly.</t>
  </si>
  <si>
    <t>According to JORDAN TAX SERVICE (4/16/19), no ordinance has been passed in Ingram to change the rates so they will continue billing as they have in 2018. For the purposes of the study, we have kept the rates the same as well.  The only increase would be ALCOSAN's increase.</t>
  </si>
  <si>
    <r>
      <t xml:space="preserve">^No increase in </t>
    </r>
    <r>
      <rPr>
        <b/>
        <sz val="11"/>
        <rFont val="Calibri"/>
        <family val="2"/>
        <scheme val="minor"/>
      </rPr>
      <t xml:space="preserve">municipal </t>
    </r>
    <r>
      <rPr>
        <sz val="11"/>
        <rFont val="Calibri"/>
        <family val="2"/>
        <scheme val="minor"/>
      </rPr>
      <t>portion of the sewage bill from 2018</t>
    </r>
  </si>
  <si>
    <t>^No increase in municipal portion of the sewage bill from 2018</t>
  </si>
  <si>
    <t>Communities that use WPJWA for sewer billing incur a charge of $1.50 for each monthly customer bill, but that fee is not included on the customer bill as a sewage charge so it is not included in those communities' rates for this survey.</t>
  </si>
</sst>
</file>

<file path=xl/styles.xml><?xml version="1.0" encoding="utf-8"?>
<styleSheet xmlns="http://schemas.openxmlformats.org/spreadsheetml/2006/main">
  <numFmts count="4">
    <numFmt numFmtId="7" formatCode="&quot;$&quot;#,##0.00_);\(&quot;$&quot;#,##0.00\)"/>
    <numFmt numFmtId="8" formatCode="&quot;$&quot;#,##0.00_);[Red]\(&quot;$&quot;#,##0.00\)"/>
    <numFmt numFmtId="44" formatCode="_(&quot;$&quot;* #,##0.00_);_(&quot;$&quot;* \(#,##0.00\);_(&quot;$&quot;* &quot;-&quot;??_);_(@_)"/>
    <numFmt numFmtId="164" formatCode="&quot;$&quot;#,##0.00"/>
  </numFmts>
  <fonts count="17">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sz val="9"/>
      <name val="Calibri"/>
      <family val="2"/>
      <scheme val="minor"/>
    </font>
    <font>
      <vertAlign val="superscript"/>
      <sz val="11"/>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font>
    <font>
      <b/>
      <sz val="9"/>
      <name val="Calibri"/>
      <family val="2"/>
      <scheme val="minor"/>
    </font>
    <font>
      <i/>
      <sz val="9"/>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44" fontId="12" fillId="0" borderId="0" applyFont="0" applyFill="0" applyBorder="0" applyAlignment="0" applyProtection="0"/>
  </cellStyleXfs>
  <cellXfs count="79">
    <xf numFmtId="0" fontId="0" fillId="0" borderId="0" xfId="0"/>
    <xf numFmtId="0" fontId="1" fillId="0" borderId="0" xfId="0" applyFont="1" applyFill="1"/>
    <xf numFmtId="0" fontId="2" fillId="0" borderId="0" xfId="0" applyFont="1" applyFill="1" applyAlignment="1">
      <alignment horizontal="left" wrapText="1"/>
    </xf>
    <xf numFmtId="0" fontId="3" fillId="0" borderId="0" xfId="0" applyFont="1" applyFill="1"/>
    <xf numFmtId="0" fontId="4" fillId="0" borderId="0" xfId="0" applyFont="1" applyFill="1" applyBorder="1"/>
    <xf numFmtId="0" fontId="5" fillId="0" borderId="0" xfId="0" applyFont="1" applyFill="1"/>
    <xf numFmtId="0" fontId="5" fillId="0" borderId="0" xfId="0" applyFont="1" applyFill="1" applyAlignment="1">
      <alignment horizontal="center" wrapText="1"/>
    </xf>
    <xf numFmtId="0" fontId="5" fillId="0" borderId="0" xfId="0" applyFont="1" applyFill="1" applyBorder="1"/>
    <xf numFmtId="0" fontId="5" fillId="0" borderId="0" xfId="0" applyFont="1" applyFill="1" applyAlignment="1">
      <alignment horizontal="left" wrapText="1"/>
    </xf>
    <xf numFmtId="0" fontId="8" fillId="0" borderId="0" xfId="0" applyFont="1" applyFill="1"/>
    <xf numFmtId="0" fontId="9" fillId="0" borderId="0" xfId="0" applyFont="1" applyFill="1"/>
    <xf numFmtId="0" fontId="10" fillId="0" borderId="0" xfId="0" applyFont="1" applyFill="1"/>
    <xf numFmtId="0" fontId="1" fillId="0" borderId="0" xfId="0" applyFont="1" applyFill="1" applyBorder="1"/>
    <xf numFmtId="0" fontId="6" fillId="0" borderId="0" xfId="0" applyFont="1" applyFill="1"/>
    <xf numFmtId="164" fontId="5" fillId="0" borderId="0" xfId="0" applyNumberFormat="1" applyFont="1" applyFill="1"/>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2" borderId="0" xfId="0" applyFont="1" applyFill="1"/>
    <xf numFmtId="0" fontId="0" fillId="2" borderId="0" xfId="0" applyFont="1" applyFill="1"/>
    <xf numFmtId="0" fontId="5"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vertical="top" wrapText="1"/>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164" fontId="5" fillId="0" borderId="2" xfId="0" applyNumberFormat="1" applyFont="1" applyFill="1" applyBorder="1" applyAlignment="1">
      <alignment vertical="top"/>
    </xf>
    <xf numFmtId="0" fontId="0" fillId="2" borderId="2" xfId="0" applyFill="1" applyBorder="1" applyAlignment="1">
      <alignment vertical="top"/>
    </xf>
    <xf numFmtId="164" fontId="0" fillId="2" borderId="2" xfId="0" applyNumberFormat="1" applyFont="1" applyFill="1" applyBorder="1" applyAlignment="1">
      <alignment vertical="top"/>
    </xf>
    <xf numFmtId="3" fontId="0" fillId="2" borderId="2" xfId="0" applyNumberFormat="1" applyFont="1" applyFill="1" applyBorder="1" applyAlignment="1">
      <alignment vertical="top"/>
    </xf>
    <xf numFmtId="1" fontId="0" fillId="2" borderId="2" xfId="0" applyNumberFormat="1" applyFont="1" applyFill="1" applyBorder="1" applyAlignment="1">
      <alignment vertical="top"/>
    </xf>
    <xf numFmtId="164" fontId="5" fillId="2" borderId="2" xfId="0" applyNumberFormat="1" applyFont="1" applyFill="1" applyBorder="1" applyAlignment="1">
      <alignment vertical="top"/>
    </xf>
    <xf numFmtId="0" fontId="5" fillId="2" borderId="2" xfId="0" applyFont="1" applyFill="1" applyBorder="1" applyAlignment="1">
      <alignment vertical="top"/>
    </xf>
    <xf numFmtId="3" fontId="5" fillId="2" borderId="2" xfId="0" applyNumberFormat="1" applyFont="1" applyFill="1" applyBorder="1" applyAlignment="1">
      <alignment vertical="top"/>
    </xf>
    <xf numFmtId="1" fontId="5" fillId="2" borderId="2" xfId="0" applyNumberFormat="1" applyFont="1" applyFill="1" applyBorder="1" applyAlignment="1">
      <alignment vertical="top"/>
    </xf>
    <xf numFmtId="0" fontId="5" fillId="0" borderId="0" xfId="0" applyFont="1" applyFill="1" applyAlignment="1">
      <alignment vertical="top"/>
    </xf>
    <xf numFmtId="3" fontId="5" fillId="0" borderId="2" xfId="0" applyNumberFormat="1" applyFont="1" applyFill="1" applyBorder="1" applyAlignment="1">
      <alignment vertical="top"/>
    </xf>
    <xf numFmtId="8" fontId="5" fillId="2" borderId="2" xfId="0" applyNumberFormat="1" applyFont="1" applyFill="1" applyBorder="1" applyAlignment="1">
      <alignment vertical="top"/>
    </xf>
    <xf numFmtId="0" fontId="7" fillId="0" borderId="3" xfId="0" applyFont="1" applyFill="1" applyBorder="1" applyAlignment="1">
      <alignment vertical="top" wrapText="1"/>
    </xf>
    <xf numFmtId="0" fontId="5" fillId="2" borderId="4" xfId="0" applyFont="1" applyFill="1" applyBorder="1" applyAlignment="1">
      <alignment vertical="top"/>
    </xf>
    <xf numFmtId="0" fontId="7" fillId="2" borderId="2" xfId="0" applyFont="1" applyFill="1" applyBorder="1" applyAlignment="1">
      <alignment vertical="top" wrapText="1"/>
    </xf>
    <xf numFmtId="0" fontId="5" fillId="2" borderId="5" xfId="0" applyFont="1" applyFill="1" applyBorder="1" applyAlignment="1">
      <alignment vertical="top"/>
    </xf>
    <xf numFmtId="0" fontId="5" fillId="0" borderId="5" xfId="0" applyFont="1" applyFill="1" applyBorder="1" applyAlignment="1">
      <alignment vertical="top"/>
    </xf>
    <xf numFmtId="0" fontId="7" fillId="0" borderId="2" xfId="0" applyFont="1" applyFill="1" applyBorder="1" applyAlignment="1">
      <alignment vertical="top" wrapText="1"/>
    </xf>
    <xf numFmtId="1" fontId="5" fillId="0" borderId="2" xfId="0" applyNumberFormat="1" applyFont="1" applyFill="1" applyBorder="1" applyAlignment="1">
      <alignment vertical="top"/>
    </xf>
    <xf numFmtId="0" fontId="0" fillId="0" borderId="2" xfId="0" applyFill="1" applyBorder="1" applyAlignment="1">
      <alignment vertical="top"/>
    </xf>
    <xf numFmtId="164" fontId="0" fillId="0" borderId="2" xfId="0" applyNumberFormat="1" applyFont="1" applyFill="1" applyBorder="1" applyAlignment="1">
      <alignment vertical="top"/>
    </xf>
    <xf numFmtId="3" fontId="0" fillId="0" borderId="2" xfId="0" applyNumberFormat="1" applyFont="1" applyFill="1" applyBorder="1" applyAlignment="1">
      <alignment vertical="top"/>
    </xf>
    <xf numFmtId="0" fontId="0" fillId="0" borderId="2" xfId="0" applyFont="1" applyFill="1" applyBorder="1" applyAlignment="1">
      <alignment vertical="top"/>
    </xf>
    <xf numFmtId="0" fontId="0" fillId="0" borderId="0" xfId="0" applyFont="1" applyFill="1"/>
    <xf numFmtId="44" fontId="5" fillId="0" borderId="2" xfId="1" applyFont="1" applyFill="1" applyBorder="1" applyAlignment="1">
      <alignment vertical="top"/>
    </xf>
    <xf numFmtId="44" fontId="5" fillId="0" borderId="0" xfId="1" applyFont="1" applyFill="1"/>
    <xf numFmtId="1" fontId="5" fillId="0" borderId="2" xfId="1" applyNumberFormat="1" applyFont="1" applyFill="1" applyBorder="1" applyAlignment="1">
      <alignment vertical="top"/>
    </xf>
    <xf numFmtId="7" fontId="5" fillId="0" borderId="2" xfId="1" applyNumberFormat="1" applyFont="1" applyFill="1" applyBorder="1" applyAlignment="1">
      <alignment vertical="top"/>
    </xf>
    <xf numFmtId="0" fontId="5" fillId="0" borderId="2" xfId="0" applyFont="1" applyFill="1" applyBorder="1"/>
    <xf numFmtId="0" fontId="5" fillId="0" borderId="2" xfId="0" applyNumberFormat="1" applyFont="1" applyFill="1" applyBorder="1" applyAlignment="1">
      <alignment vertical="top"/>
    </xf>
    <xf numFmtId="164" fontId="5" fillId="0" borderId="0" xfId="0" applyNumberFormat="1" applyFont="1" applyFill="1" applyAlignment="1">
      <alignment vertical="top"/>
    </xf>
    <xf numFmtId="0" fontId="5" fillId="0" borderId="0" xfId="0" applyNumberFormat="1" applyFont="1" applyFill="1" applyAlignment="1">
      <alignment vertical="top"/>
    </xf>
    <xf numFmtId="0" fontId="13" fillId="0" borderId="2" xfId="0" applyFont="1" applyFill="1" applyBorder="1" applyAlignment="1">
      <alignment vertical="top" wrapText="1"/>
    </xf>
    <xf numFmtId="0" fontId="13" fillId="2" borderId="2" xfId="0" applyFont="1" applyFill="1" applyBorder="1" applyAlignment="1">
      <alignment vertical="top" wrapText="1"/>
    </xf>
    <xf numFmtId="49" fontId="13" fillId="0" borderId="0" xfId="0" applyNumberFormat="1" applyFont="1" applyFill="1" applyAlignment="1">
      <alignment horizontal="left" vertical="top" wrapText="1"/>
    </xf>
    <xf numFmtId="49" fontId="13" fillId="0" borderId="1" xfId="0" applyNumberFormat="1" applyFont="1" applyFill="1" applyBorder="1" applyAlignment="1">
      <alignment vertical="top" wrapText="1"/>
    </xf>
    <xf numFmtId="0" fontId="13" fillId="0" borderId="3" xfId="0" applyFont="1" applyFill="1" applyBorder="1" applyAlignment="1">
      <alignment vertical="top" wrapText="1"/>
    </xf>
    <xf numFmtId="0" fontId="5" fillId="0" borderId="6" xfId="0" applyFont="1" applyFill="1" applyBorder="1" applyAlignment="1">
      <alignment vertical="top"/>
    </xf>
    <xf numFmtId="0" fontId="14" fillId="0" borderId="2" xfId="0" applyFont="1" applyFill="1" applyBorder="1" applyAlignment="1">
      <alignment vertical="top" wrapText="1"/>
    </xf>
    <xf numFmtId="0" fontId="16" fillId="0" borderId="0" xfId="0" applyFont="1" applyFill="1"/>
    <xf numFmtId="0" fontId="2" fillId="0" borderId="0" xfId="0" applyFont="1" applyFill="1" applyBorder="1" applyAlignment="1">
      <alignment horizontal="left" vertical="top" wrapText="1"/>
    </xf>
    <xf numFmtId="0" fontId="5" fillId="0" borderId="8" xfId="0" applyFont="1" applyFill="1" applyBorder="1" applyAlignment="1">
      <alignment vertical="top" wrapText="1"/>
    </xf>
    <xf numFmtId="0" fontId="2" fillId="0" borderId="9" xfId="0" applyFont="1" applyFill="1" applyBorder="1" applyAlignment="1">
      <alignment vertical="top" wrapText="1"/>
    </xf>
    <xf numFmtId="0" fontId="7" fillId="0" borderId="10" xfId="0" applyFont="1" applyFill="1" applyBorder="1" applyAlignment="1">
      <alignment vertical="top" wrapText="1"/>
    </xf>
    <xf numFmtId="0" fontId="11" fillId="2" borderId="10" xfId="0" applyFont="1" applyFill="1" applyBorder="1" applyAlignment="1">
      <alignment vertical="top" wrapText="1"/>
    </xf>
    <xf numFmtId="0" fontId="7" fillId="2" borderId="10" xfId="0" applyFont="1" applyFill="1" applyBorder="1" applyAlignment="1">
      <alignment vertical="top" wrapText="1"/>
    </xf>
    <xf numFmtId="0" fontId="11" fillId="0" borderId="10" xfId="0" applyFont="1" applyFill="1" applyBorder="1" applyAlignment="1">
      <alignment vertical="top" wrapText="1"/>
    </xf>
    <xf numFmtId="0" fontId="7" fillId="2" borderId="11" xfId="0" applyFont="1" applyFill="1" applyBorder="1" applyAlignment="1">
      <alignment vertical="top" wrapText="1"/>
    </xf>
    <xf numFmtId="0" fontId="7" fillId="0" borderId="10" xfId="0" applyNumberFormat="1" applyFont="1" applyFill="1" applyBorder="1" applyAlignment="1">
      <alignment vertical="top" wrapText="1"/>
    </xf>
    <xf numFmtId="44" fontId="7" fillId="0" borderId="10" xfId="1" applyFont="1" applyFill="1" applyBorder="1" applyAlignment="1">
      <alignment vertical="top" wrapText="1"/>
    </xf>
    <xf numFmtId="0" fontId="5" fillId="0" borderId="12" xfId="0" applyFont="1" applyFill="1" applyBorder="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41"/>
  <sheetViews>
    <sheetView zoomScaleNormal="100" workbookViewId="0">
      <selection activeCell="B1" sqref="B1:L1048576"/>
    </sheetView>
  </sheetViews>
  <sheetFormatPr defaultColWidth="9.140625" defaultRowHeight="15"/>
  <cols>
    <col min="1" max="1" width="20.85546875" style="5" customWidth="1"/>
    <col min="2" max="2" width="9" style="5" customWidth="1"/>
    <col min="3" max="3" width="9.140625" style="5" customWidth="1"/>
    <col min="4" max="4" width="8.7109375" style="5" customWidth="1"/>
    <col min="5" max="5" width="8.42578125" style="5" customWidth="1"/>
    <col min="6" max="6" width="11.85546875" style="5" customWidth="1"/>
    <col min="7" max="7" width="10.28515625" style="5" customWidth="1"/>
    <col min="8" max="8" width="22.7109375" style="5" customWidth="1"/>
    <col min="9" max="10" width="15.28515625" style="5" customWidth="1"/>
    <col min="11" max="11" width="16.5703125" style="5" customWidth="1"/>
    <col min="12" max="12" width="15" style="5" customWidth="1"/>
    <col min="13" max="13" width="18.5703125" style="5" customWidth="1"/>
    <col min="14" max="14" width="62.42578125" style="22" hidden="1" customWidth="1"/>
    <col min="15" max="16384" width="9.140625" style="5"/>
  </cols>
  <sheetData>
    <row r="1" spans="1:14" ht="18.75">
      <c r="A1" s="10" t="s">
        <v>59</v>
      </c>
      <c r="B1" s="10"/>
      <c r="C1" s="10"/>
      <c r="N1" s="20"/>
    </row>
    <row r="2" spans="1:14" ht="15.75">
      <c r="A2" s="11" t="s">
        <v>0</v>
      </c>
      <c r="B2" s="11"/>
      <c r="C2" s="11"/>
      <c r="D2" s="11"/>
      <c r="M2" s="8"/>
      <c r="N2" s="20"/>
    </row>
    <row r="3" spans="1:14">
      <c r="A3" s="5" t="s">
        <v>56</v>
      </c>
      <c r="B3" s="1"/>
      <c r="N3" s="20"/>
    </row>
    <row r="4" spans="1:14">
      <c r="A4" s="5" t="s">
        <v>60</v>
      </c>
      <c r="C4" s="1"/>
      <c r="D4" s="1"/>
    </row>
    <row r="5" spans="1:14" ht="15.75" thickBot="1">
      <c r="C5" s="1"/>
      <c r="D5" s="1"/>
      <c r="M5" s="78"/>
      <c r="N5" s="68"/>
    </row>
    <row r="6" spans="1:14" ht="30.75" thickBot="1">
      <c r="A6" s="23" t="s">
        <v>46</v>
      </c>
      <c r="B6" s="24" t="s">
        <v>1</v>
      </c>
      <c r="C6" s="24"/>
      <c r="D6" s="24" t="s">
        <v>31</v>
      </c>
      <c r="E6" s="24"/>
      <c r="F6" s="24" t="s">
        <v>2</v>
      </c>
      <c r="G6" s="24"/>
      <c r="H6" s="23" t="s">
        <v>50</v>
      </c>
      <c r="I6" s="23" t="s">
        <v>43</v>
      </c>
      <c r="J6" s="23" t="s">
        <v>44</v>
      </c>
      <c r="K6" s="25" t="s">
        <v>3</v>
      </c>
      <c r="L6" s="23" t="s">
        <v>53</v>
      </c>
      <c r="M6" s="25" t="s">
        <v>49</v>
      </c>
      <c r="N6" s="69" t="s">
        <v>65</v>
      </c>
    </row>
    <row r="7" spans="1:14" ht="33.75" customHeight="1" thickBot="1">
      <c r="A7" s="26"/>
      <c r="B7" s="24" t="s">
        <v>4</v>
      </c>
      <c r="C7" s="24" t="s">
        <v>5</v>
      </c>
      <c r="D7" s="24" t="s">
        <v>6</v>
      </c>
      <c r="E7" s="24" t="s">
        <v>7</v>
      </c>
      <c r="F7" s="24" t="s">
        <v>6</v>
      </c>
      <c r="G7" s="24" t="s">
        <v>8</v>
      </c>
      <c r="H7" s="27" t="s">
        <v>51</v>
      </c>
      <c r="I7" s="26" t="s">
        <v>9</v>
      </c>
      <c r="J7" s="26" t="s">
        <v>45</v>
      </c>
      <c r="K7" s="27" t="s">
        <v>52</v>
      </c>
      <c r="L7" s="27" t="s">
        <v>52</v>
      </c>
      <c r="M7" s="27" t="s">
        <v>54</v>
      </c>
      <c r="N7" s="70"/>
    </row>
    <row r="8" spans="1:14" ht="30" customHeight="1" thickBot="1">
      <c r="A8" s="24" t="s">
        <v>33</v>
      </c>
      <c r="B8" s="28"/>
      <c r="C8" s="28">
        <f>16.69*0.35</f>
        <v>5.8414999999999999</v>
      </c>
      <c r="D8" s="28">
        <f>7.94*0.35</f>
        <v>2.7789999999999999</v>
      </c>
      <c r="E8" s="38">
        <v>1000</v>
      </c>
      <c r="F8" s="28"/>
      <c r="G8" s="46"/>
      <c r="H8" s="28">
        <f>C8 +(D8*13)</f>
        <v>41.968499999999992</v>
      </c>
      <c r="I8" s="28">
        <v>16.690000000000001</v>
      </c>
      <c r="J8" s="28">
        <v>7.94</v>
      </c>
      <c r="K8" s="28">
        <f>7.94*13</f>
        <v>103.22</v>
      </c>
      <c r="L8" s="28">
        <f>I8+K8</f>
        <v>119.91</v>
      </c>
      <c r="M8" s="28">
        <f>H8+L8</f>
        <v>161.87849999999997</v>
      </c>
      <c r="N8" s="71" t="s">
        <v>115</v>
      </c>
    </row>
    <row r="9" spans="1:14" s="19" customFormat="1" ht="36.75" thickBot="1">
      <c r="A9" s="29" t="s">
        <v>119</v>
      </c>
      <c r="B9" s="30"/>
      <c r="C9" s="30"/>
      <c r="D9" s="30">
        <v>3</v>
      </c>
      <c r="E9" s="31">
        <v>1000</v>
      </c>
      <c r="F9" s="30"/>
      <c r="G9" s="32"/>
      <c r="H9" s="30">
        <f>C9 +(D9*13)</f>
        <v>39</v>
      </c>
      <c r="I9" s="33">
        <v>16.690000000000001</v>
      </c>
      <c r="J9" s="33">
        <v>7.94</v>
      </c>
      <c r="K9" s="33">
        <f t="shared" ref="K9:K33" si="0">7.94*13</f>
        <v>103.22</v>
      </c>
      <c r="L9" s="33">
        <f t="shared" ref="L9:L33" si="1">I9+K9</f>
        <v>119.91</v>
      </c>
      <c r="M9" s="30">
        <f t="shared" ref="M9:M33" si="2">H9+L9</f>
        <v>158.91</v>
      </c>
      <c r="N9" s="72" t="s">
        <v>110</v>
      </c>
    </row>
    <row r="10" spans="1:14" s="18" customFormat="1" ht="36.75" thickBot="1">
      <c r="A10" s="34" t="s">
        <v>111</v>
      </c>
      <c r="B10" s="33"/>
      <c r="C10" s="33"/>
      <c r="D10" s="33">
        <v>4.5</v>
      </c>
      <c r="E10" s="35">
        <v>1000</v>
      </c>
      <c r="F10" s="33"/>
      <c r="G10" s="36"/>
      <c r="H10" s="33">
        <f t="shared" ref="H10:H33" si="3">C10 +(D10*13)</f>
        <v>58.5</v>
      </c>
      <c r="I10" s="33">
        <v>16.690000000000001</v>
      </c>
      <c r="J10" s="33">
        <v>7.94</v>
      </c>
      <c r="K10" s="33">
        <f t="shared" si="0"/>
        <v>103.22</v>
      </c>
      <c r="L10" s="33">
        <f t="shared" si="1"/>
        <v>119.91</v>
      </c>
      <c r="M10" s="33">
        <f t="shared" si="2"/>
        <v>178.41</v>
      </c>
      <c r="N10" s="73" t="s">
        <v>77</v>
      </c>
    </row>
    <row r="11" spans="1:14" ht="36.75" thickBot="1">
      <c r="A11" s="24" t="s">
        <v>101</v>
      </c>
      <c r="B11" s="28"/>
      <c r="C11" s="28"/>
      <c r="D11" s="28">
        <v>6</v>
      </c>
      <c r="E11" s="38">
        <v>1000</v>
      </c>
      <c r="F11" s="28"/>
      <c r="G11" s="46"/>
      <c r="H11" s="28">
        <f t="shared" si="3"/>
        <v>78</v>
      </c>
      <c r="I11" s="28">
        <v>16.690000000000001</v>
      </c>
      <c r="J11" s="28">
        <v>7.94</v>
      </c>
      <c r="K11" s="28">
        <f t="shared" si="0"/>
        <v>103.22</v>
      </c>
      <c r="L11" s="28">
        <f t="shared" si="1"/>
        <v>119.91</v>
      </c>
      <c r="M11" s="28">
        <f t="shared" si="2"/>
        <v>197.91</v>
      </c>
      <c r="N11" s="71" t="s">
        <v>102</v>
      </c>
    </row>
    <row r="12" spans="1:14" s="18" customFormat="1" ht="66" customHeight="1" thickBot="1">
      <c r="A12" s="24" t="s">
        <v>181</v>
      </c>
      <c r="B12" s="28"/>
      <c r="C12" s="28"/>
      <c r="D12" s="28">
        <f>79.6-16.69-(7.94*8)</f>
        <v>-0.61000000000000654</v>
      </c>
      <c r="E12" s="38">
        <v>8000</v>
      </c>
      <c r="F12" s="28">
        <v>2.0099999999999998</v>
      </c>
      <c r="G12" s="38">
        <v>8001</v>
      </c>
      <c r="H12" s="28">
        <f>(D12*8) +(F12*5)</f>
        <v>5.1699999999999466</v>
      </c>
      <c r="I12" s="28">
        <v>16.690000000000001</v>
      </c>
      <c r="J12" s="28">
        <v>7.94</v>
      </c>
      <c r="K12" s="28">
        <f t="shared" si="0"/>
        <v>103.22</v>
      </c>
      <c r="L12" s="28">
        <f t="shared" si="1"/>
        <v>119.91</v>
      </c>
      <c r="M12" s="28">
        <f t="shared" si="2"/>
        <v>125.07999999999994</v>
      </c>
      <c r="N12" s="71" t="s">
        <v>147</v>
      </c>
    </row>
    <row r="13" spans="1:14" s="51" customFormat="1" ht="25.5" customHeight="1" thickBot="1">
      <c r="A13" s="47" t="s">
        <v>34</v>
      </c>
      <c r="B13" s="48"/>
      <c r="C13" s="48">
        <f>16.69*0.5</f>
        <v>8.3450000000000006</v>
      </c>
      <c r="D13" s="48">
        <f>7.94*0.5</f>
        <v>3.97</v>
      </c>
      <c r="E13" s="49">
        <v>1000</v>
      </c>
      <c r="F13" s="48"/>
      <c r="G13" s="49"/>
      <c r="H13" s="48">
        <f t="shared" si="3"/>
        <v>59.954999999999998</v>
      </c>
      <c r="I13" s="28">
        <v>16.690000000000001</v>
      </c>
      <c r="J13" s="28">
        <v>7.94</v>
      </c>
      <c r="K13" s="28">
        <f t="shared" si="0"/>
        <v>103.22</v>
      </c>
      <c r="L13" s="28">
        <f t="shared" si="1"/>
        <v>119.91</v>
      </c>
      <c r="M13" s="48">
        <f t="shared" si="2"/>
        <v>179.86500000000001</v>
      </c>
      <c r="N13" s="74" t="s">
        <v>116</v>
      </c>
    </row>
    <row r="14" spans="1:14" s="18" customFormat="1" ht="36.75" thickBot="1">
      <c r="A14" s="34" t="s">
        <v>112</v>
      </c>
      <c r="B14" s="33"/>
      <c r="C14" s="33"/>
      <c r="D14" s="33">
        <v>4.7</v>
      </c>
      <c r="E14" s="35">
        <v>1000</v>
      </c>
      <c r="F14" s="33"/>
      <c r="G14" s="35"/>
      <c r="H14" s="33">
        <f t="shared" si="3"/>
        <v>61.1</v>
      </c>
      <c r="I14" s="33">
        <v>16.690000000000001</v>
      </c>
      <c r="J14" s="33">
        <v>7.94</v>
      </c>
      <c r="K14" s="33">
        <f t="shared" si="0"/>
        <v>103.22</v>
      </c>
      <c r="L14" s="33">
        <f t="shared" si="1"/>
        <v>119.91</v>
      </c>
      <c r="M14" s="33">
        <f>H14+L14</f>
        <v>181.01</v>
      </c>
      <c r="N14" s="73" t="s">
        <v>78</v>
      </c>
    </row>
    <row r="15" spans="1:14" s="18" customFormat="1" ht="36.75" thickBot="1">
      <c r="A15" s="34" t="s">
        <v>120</v>
      </c>
      <c r="B15" s="33"/>
      <c r="C15" s="33"/>
      <c r="D15" s="33">
        <v>4.75</v>
      </c>
      <c r="E15" s="35">
        <v>1000</v>
      </c>
      <c r="F15" s="33"/>
      <c r="G15" s="35"/>
      <c r="H15" s="33">
        <f t="shared" si="3"/>
        <v>61.75</v>
      </c>
      <c r="I15" s="33">
        <v>16.690000000000001</v>
      </c>
      <c r="J15" s="33">
        <v>7.94</v>
      </c>
      <c r="K15" s="33">
        <f t="shared" si="0"/>
        <v>103.22</v>
      </c>
      <c r="L15" s="33">
        <f t="shared" si="1"/>
        <v>119.91</v>
      </c>
      <c r="M15" s="33">
        <f t="shared" si="2"/>
        <v>181.66</v>
      </c>
      <c r="N15" s="73" t="s">
        <v>76</v>
      </c>
    </row>
    <row r="16" spans="1:14" ht="48.75" thickBot="1">
      <c r="A16" s="24" t="s">
        <v>133</v>
      </c>
      <c r="B16" s="28"/>
      <c r="C16" s="28"/>
      <c r="D16" s="28">
        <f>12.75-7.94</f>
        <v>4.8099999999999996</v>
      </c>
      <c r="E16" s="38">
        <v>1000</v>
      </c>
      <c r="F16" s="28"/>
      <c r="G16" s="38"/>
      <c r="H16" s="28">
        <f>C16 +(D16*13)</f>
        <v>62.529999999999994</v>
      </c>
      <c r="I16" s="28">
        <v>16.690000000000001</v>
      </c>
      <c r="J16" s="28">
        <v>7.94</v>
      </c>
      <c r="K16" s="28">
        <f t="shared" si="0"/>
        <v>103.22</v>
      </c>
      <c r="L16" s="28">
        <f t="shared" si="1"/>
        <v>119.91</v>
      </c>
      <c r="M16" s="28">
        <f t="shared" si="2"/>
        <v>182.44</v>
      </c>
      <c r="N16" s="71" t="s">
        <v>134</v>
      </c>
    </row>
    <row r="17" spans="1:14" ht="24" customHeight="1" thickBot="1">
      <c r="A17" s="24" t="s">
        <v>117</v>
      </c>
      <c r="B17" s="28"/>
      <c r="C17" s="28"/>
      <c r="D17" s="28">
        <v>5.75</v>
      </c>
      <c r="E17" s="38">
        <v>1000</v>
      </c>
      <c r="F17" s="28"/>
      <c r="G17" s="38"/>
      <c r="H17" s="28">
        <f t="shared" si="3"/>
        <v>74.75</v>
      </c>
      <c r="I17" s="28">
        <v>16.690000000000001</v>
      </c>
      <c r="J17" s="28">
        <v>7.94</v>
      </c>
      <c r="K17" s="28">
        <f t="shared" si="0"/>
        <v>103.22</v>
      </c>
      <c r="L17" s="28">
        <f t="shared" si="1"/>
        <v>119.91</v>
      </c>
      <c r="M17" s="28">
        <f t="shared" si="2"/>
        <v>194.66</v>
      </c>
      <c r="N17" s="71" t="s">
        <v>121</v>
      </c>
    </row>
    <row r="18" spans="1:14" ht="48.75" thickBot="1">
      <c r="A18" s="24" t="s">
        <v>94</v>
      </c>
      <c r="B18" s="28"/>
      <c r="C18" s="28"/>
      <c r="D18" s="28">
        <f>156.9-119.91</f>
        <v>36.990000000000009</v>
      </c>
      <c r="E18" s="38"/>
      <c r="F18" s="28"/>
      <c r="G18" s="38"/>
      <c r="H18" s="28">
        <f>D18</f>
        <v>36.990000000000009</v>
      </c>
      <c r="I18" s="28">
        <v>16.690000000000001</v>
      </c>
      <c r="J18" s="28">
        <v>7.94</v>
      </c>
      <c r="K18" s="28">
        <f t="shared" si="0"/>
        <v>103.22</v>
      </c>
      <c r="L18" s="28">
        <f t="shared" si="1"/>
        <v>119.91</v>
      </c>
      <c r="M18" s="28">
        <f t="shared" si="2"/>
        <v>156.9</v>
      </c>
      <c r="N18" s="71" t="s">
        <v>172</v>
      </c>
    </row>
    <row r="19" spans="1:14" ht="89.25" customHeight="1" thickBot="1">
      <c r="A19" s="24" t="s">
        <v>95</v>
      </c>
      <c r="B19" s="28"/>
      <c r="C19" s="28">
        <v>4.5</v>
      </c>
      <c r="D19" s="28">
        <f>73.8-16.69-(7.94*6)</f>
        <v>9.4699999999999989</v>
      </c>
      <c r="E19" s="38">
        <v>6000</v>
      </c>
      <c r="F19" s="28">
        <f>12.3-7.94</f>
        <v>4.3600000000000003</v>
      </c>
      <c r="G19" s="38">
        <v>6001</v>
      </c>
      <c r="H19" s="28">
        <f>C19 +D19+(F19*7)</f>
        <v>44.49</v>
      </c>
      <c r="I19" s="28">
        <v>16.690000000000001</v>
      </c>
      <c r="J19" s="28">
        <v>7.94</v>
      </c>
      <c r="K19" s="28">
        <f t="shared" si="0"/>
        <v>103.22</v>
      </c>
      <c r="L19" s="28">
        <f t="shared" si="1"/>
        <v>119.91</v>
      </c>
      <c r="M19" s="28">
        <f>H19+L19</f>
        <v>164.4</v>
      </c>
      <c r="N19" s="71" t="s">
        <v>187</v>
      </c>
    </row>
    <row r="20" spans="1:14" s="18" customFormat="1" ht="45.75" customHeight="1" thickBot="1">
      <c r="A20" s="34" t="s">
        <v>35</v>
      </c>
      <c r="B20" s="33"/>
      <c r="C20" s="33">
        <f>30-16.69</f>
        <v>13.309999999999999</v>
      </c>
      <c r="D20" s="33">
        <f>19.37-7.94</f>
        <v>11.43</v>
      </c>
      <c r="E20" s="35">
        <v>1000</v>
      </c>
      <c r="F20" s="33"/>
      <c r="G20" s="35"/>
      <c r="H20" s="33">
        <f t="shared" si="3"/>
        <v>161.9</v>
      </c>
      <c r="I20" s="33">
        <v>16.690000000000001</v>
      </c>
      <c r="J20" s="33">
        <v>7.94</v>
      </c>
      <c r="K20" s="33">
        <f t="shared" si="0"/>
        <v>103.22</v>
      </c>
      <c r="L20" s="33">
        <f t="shared" si="1"/>
        <v>119.91</v>
      </c>
      <c r="M20" s="33">
        <f t="shared" si="2"/>
        <v>281.81</v>
      </c>
      <c r="N20" s="73" t="s">
        <v>88</v>
      </c>
    </row>
    <row r="21" spans="1:14" ht="36.75" thickBot="1">
      <c r="A21" s="24" t="s">
        <v>182</v>
      </c>
      <c r="B21" s="28"/>
      <c r="C21" s="37"/>
      <c r="D21" s="28">
        <f>90.01-(7.94*3)</f>
        <v>66.19</v>
      </c>
      <c r="E21" s="38">
        <v>3000</v>
      </c>
      <c r="F21" s="28">
        <f>8.75-7.94</f>
        <v>0.80999999999999961</v>
      </c>
      <c r="G21" s="38">
        <v>3001</v>
      </c>
      <c r="H21" s="28">
        <f>(D21)+(F21*10)</f>
        <v>74.289999999999992</v>
      </c>
      <c r="I21" s="28">
        <v>16.690000000000001</v>
      </c>
      <c r="J21" s="28">
        <v>7.94</v>
      </c>
      <c r="K21" s="28">
        <f t="shared" si="0"/>
        <v>103.22</v>
      </c>
      <c r="L21" s="28">
        <f t="shared" si="1"/>
        <v>119.91</v>
      </c>
      <c r="M21" s="28">
        <f t="shared" si="2"/>
        <v>194.2</v>
      </c>
      <c r="N21" s="71" t="s">
        <v>122</v>
      </c>
    </row>
    <row r="22" spans="1:14" ht="24.75" thickBot="1">
      <c r="A22" s="24" t="s">
        <v>118</v>
      </c>
      <c r="B22" s="28">
        <v>0.83333999999999997</v>
      </c>
      <c r="C22" s="56"/>
      <c r="D22" s="28">
        <v>4.5</v>
      </c>
      <c r="E22" s="38">
        <v>1000</v>
      </c>
      <c r="F22" s="24"/>
      <c r="G22" s="38"/>
      <c r="H22" s="28">
        <f>(B22*3) +(D22*13)</f>
        <v>61.000019999999999</v>
      </c>
      <c r="I22" s="28">
        <v>16.690000000000001</v>
      </c>
      <c r="J22" s="28">
        <v>7.94</v>
      </c>
      <c r="K22" s="28">
        <f t="shared" si="0"/>
        <v>103.22</v>
      </c>
      <c r="L22" s="28">
        <f t="shared" si="1"/>
        <v>119.91</v>
      </c>
      <c r="M22" s="28">
        <f t="shared" si="2"/>
        <v>180.91002</v>
      </c>
      <c r="N22" s="71" t="s">
        <v>123</v>
      </c>
    </row>
    <row r="23" spans="1:14" s="18" customFormat="1" ht="71.25" customHeight="1" thickBot="1">
      <c r="A23" s="43" t="s">
        <v>11</v>
      </c>
      <c r="B23" s="33"/>
      <c r="C23" s="33"/>
      <c r="D23" s="33">
        <f>8.28*3</f>
        <v>24.839999999999996</v>
      </c>
      <c r="E23" s="35">
        <v>3000</v>
      </c>
      <c r="F23" s="33">
        <v>7.43</v>
      </c>
      <c r="G23" s="35">
        <v>3001</v>
      </c>
      <c r="H23" s="33">
        <f>D23+(F23*10)</f>
        <v>99.139999999999986</v>
      </c>
      <c r="I23" s="33">
        <v>16.690000000000001</v>
      </c>
      <c r="J23" s="33">
        <v>7.94</v>
      </c>
      <c r="K23" s="33">
        <f t="shared" si="0"/>
        <v>103.22</v>
      </c>
      <c r="L23" s="33">
        <f t="shared" si="1"/>
        <v>119.91</v>
      </c>
      <c r="M23" s="33">
        <f t="shared" si="2"/>
        <v>219.04999999999998</v>
      </c>
      <c r="N23" s="75" t="s">
        <v>81</v>
      </c>
    </row>
    <row r="24" spans="1:14" s="18" customFormat="1" ht="79.5" customHeight="1" thickBot="1">
      <c r="A24" s="34" t="s">
        <v>36</v>
      </c>
      <c r="B24" s="33"/>
      <c r="C24" s="33"/>
      <c r="D24" s="33">
        <v>32.200000000000003</v>
      </c>
      <c r="E24" s="35">
        <v>1870</v>
      </c>
      <c r="F24" s="39">
        <v>5.62</v>
      </c>
      <c r="G24" s="35">
        <v>7390</v>
      </c>
      <c r="H24" s="33">
        <f>D24*3 + (F24*7.39)</f>
        <v>138.1318</v>
      </c>
      <c r="I24" s="33">
        <v>16.690000000000001</v>
      </c>
      <c r="J24" s="33">
        <v>7.94</v>
      </c>
      <c r="K24" s="33">
        <f t="shared" si="0"/>
        <v>103.22</v>
      </c>
      <c r="L24" s="33">
        <f t="shared" si="1"/>
        <v>119.91</v>
      </c>
      <c r="M24" s="33">
        <f>H24+L24-L24</f>
        <v>138.13179999999997</v>
      </c>
      <c r="N24" s="73" t="s">
        <v>79</v>
      </c>
    </row>
    <row r="25" spans="1:14" ht="48.75" thickBot="1">
      <c r="A25" s="24" t="s">
        <v>37</v>
      </c>
      <c r="B25" s="28"/>
      <c r="C25" s="28">
        <f>(16.69*0.3)</f>
        <v>5.0070000000000006</v>
      </c>
      <c r="D25" s="28">
        <f>7.94*0.3</f>
        <v>2.3820000000000001</v>
      </c>
      <c r="E25" s="38">
        <v>1000</v>
      </c>
      <c r="F25" s="24"/>
      <c r="G25" s="38"/>
      <c r="H25" s="28">
        <f t="shared" si="3"/>
        <v>35.972999999999999</v>
      </c>
      <c r="I25" s="28">
        <v>16.690000000000001</v>
      </c>
      <c r="J25" s="28">
        <v>7.94</v>
      </c>
      <c r="K25" s="28">
        <f t="shared" si="0"/>
        <v>103.22</v>
      </c>
      <c r="L25" s="28">
        <f t="shared" si="1"/>
        <v>119.91</v>
      </c>
      <c r="M25" s="28">
        <f t="shared" si="2"/>
        <v>155.88299999999998</v>
      </c>
      <c r="N25" s="71" t="s">
        <v>96</v>
      </c>
    </row>
    <row r="26" spans="1:14" s="51" customFormat="1" ht="36.75" thickBot="1">
      <c r="A26" s="47" t="s">
        <v>103</v>
      </c>
      <c r="B26" s="48" t="s">
        <v>10</v>
      </c>
      <c r="C26" s="48"/>
      <c r="D26" s="48">
        <v>3.5</v>
      </c>
      <c r="E26" s="49">
        <v>1000</v>
      </c>
      <c r="F26" s="50"/>
      <c r="G26" s="49"/>
      <c r="H26" s="48">
        <f>D26*13</f>
        <v>45.5</v>
      </c>
      <c r="I26" s="28">
        <v>16.690000000000001</v>
      </c>
      <c r="J26" s="28">
        <v>7.94</v>
      </c>
      <c r="K26" s="28">
        <f t="shared" si="0"/>
        <v>103.22</v>
      </c>
      <c r="L26" s="28">
        <f t="shared" si="1"/>
        <v>119.91</v>
      </c>
      <c r="M26" s="48">
        <f t="shared" si="2"/>
        <v>165.41</v>
      </c>
      <c r="N26" s="74" t="s">
        <v>104</v>
      </c>
    </row>
    <row r="27" spans="1:14" s="59" customFormat="1" ht="48.75" thickBot="1">
      <c r="A27" s="57" t="s">
        <v>135</v>
      </c>
      <c r="B27" s="57"/>
      <c r="C27" s="28">
        <v>18</v>
      </c>
      <c r="D27" s="28">
        <v>36</v>
      </c>
      <c r="E27" s="57">
        <v>6000</v>
      </c>
      <c r="F27" s="58">
        <v>6</v>
      </c>
      <c r="G27" s="57">
        <v>6001</v>
      </c>
      <c r="H27" s="28">
        <f>C27+ D27+(F27*7)</f>
        <v>96</v>
      </c>
      <c r="I27" s="57">
        <v>16.690000000000001</v>
      </c>
      <c r="J27" s="57">
        <v>7.94</v>
      </c>
      <c r="K27" s="57">
        <f t="shared" si="0"/>
        <v>103.22</v>
      </c>
      <c r="L27" s="57">
        <f t="shared" si="1"/>
        <v>119.91</v>
      </c>
      <c r="M27" s="57">
        <f t="shared" si="2"/>
        <v>215.91</v>
      </c>
      <c r="N27" s="76" t="s">
        <v>136</v>
      </c>
    </row>
    <row r="28" spans="1:14" s="53" customFormat="1" ht="36.75" thickBot="1">
      <c r="A28" s="52" t="s">
        <v>125</v>
      </c>
      <c r="B28" s="52"/>
      <c r="C28" s="52"/>
      <c r="D28" s="52">
        <v>2.5</v>
      </c>
      <c r="E28" s="54">
        <v>1000</v>
      </c>
      <c r="F28" s="52"/>
      <c r="G28" s="52"/>
      <c r="H28" s="55">
        <f>C28 +(D28*13)</f>
        <v>32.5</v>
      </c>
      <c r="I28" s="55">
        <v>16.690000000000001</v>
      </c>
      <c r="J28" s="55">
        <v>7.94</v>
      </c>
      <c r="K28" s="55">
        <f t="shared" si="0"/>
        <v>103.22</v>
      </c>
      <c r="L28" s="55">
        <f t="shared" si="1"/>
        <v>119.91</v>
      </c>
      <c r="M28" s="55">
        <f t="shared" si="2"/>
        <v>152.41</v>
      </c>
      <c r="N28" s="77" t="s">
        <v>124</v>
      </c>
    </row>
    <row r="29" spans="1:14" ht="74.25" customHeight="1" thickBot="1">
      <c r="A29" s="24" t="s">
        <v>25</v>
      </c>
      <c r="B29" s="28"/>
      <c r="C29" s="28">
        <f>22-16.69</f>
        <v>5.3099999999999987</v>
      </c>
      <c r="D29" s="28">
        <f>11-7.94</f>
        <v>3.0599999999999996</v>
      </c>
      <c r="E29" s="38">
        <v>1000</v>
      </c>
      <c r="F29" s="28"/>
      <c r="G29" s="38"/>
      <c r="H29" s="28">
        <f t="shared" si="3"/>
        <v>45.089999999999989</v>
      </c>
      <c r="I29" s="28">
        <v>16.690000000000001</v>
      </c>
      <c r="J29" s="28">
        <v>7.94</v>
      </c>
      <c r="K29" s="28">
        <f t="shared" si="0"/>
        <v>103.22</v>
      </c>
      <c r="L29" s="28">
        <f t="shared" si="1"/>
        <v>119.91</v>
      </c>
      <c r="M29" s="28">
        <f t="shared" si="2"/>
        <v>165</v>
      </c>
      <c r="N29" s="71" t="s">
        <v>137</v>
      </c>
    </row>
    <row r="30" spans="1:14" ht="65.25" customHeight="1" thickBot="1">
      <c r="A30" s="24" t="s">
        <v>20</v>
      </c>
      <c r="B30" s="28"/>
      <c r="C30" s="28"/>
      <c r="D30" s="28">
        <f>125.9-16.69-(7.94*10)</f>
        <v>29.810000000000002</v>
      </c>
      <c r="E30" s="38">
        <v>10000</v>
      </c>
      <c r="F30" s="28">
        <v>1.5</v>
      </c>
      <c r="G30" s="38">
        <v>10001</v>
      </c>
      <c r="H30" s="28">
        <f>D30+(F30*3)</f>
        <v>34.31</v>
      </c>
      <c r="I30" s="28">
        <v>16.690000000000001</v>
      </c>
      <c r="J30" s="28">
        <v>7.94</v>
      </c>
      <c r="K30" s="28">
        <f t="shared" si="0"/>
        <v>103.22</v>
      </c>
      <c r="L30" s="28">
        <f t="shared" si="1"/>
        <v>119.91</v>
      </c>
      <c r="M30" s="28">
        <f t="shared" si="2"/>
        <v>154.22</v>
      </c>
      <c r="N30" s="71" t="s">
        <v>171</v>
      </c>
    </row>
    <row r="31" spans="1:14" ht="48.75" thickBot="1">
      <c r="A31" s="24" t="s">
        <v>114</v>
      </c>
      <c r="B31" s="28"/>
      <c r="C31" s="28"/>
      <c r="D31" s="28">
        <v>5</v>
      </c>
      <c r="E31" s="38">
        <v>1000</v>
      </c>
      <c r="F31" s="28">
        <v>2.5</v>
      </c>
      <c r="G31" s="38">
        <v>2001</v>
      </c>
      <c r="H31" s="28">
        <f>C31 +D31 +(F31*12)</f>
        <v>35</v>
      </c>
      <c r="I31" s="28">
        <v>16.690000000000001</v>
      </c>
      <c r="J31" s="28">
        <v>7.94</v>
      </c>
      <c r="K31" s="28">
        <f t="shared" si="0"/>
        <v>103.22</v>
      </c>
      <c r="L31" s="28">
        <f t="shared" si="1"/>
        <v>119.91</v>
      </c>
      <c r="M31" s="28">
        <f t="shared" si="2"/>
        <v>154.91</v>
      </c>
      <c r="N31" s="71" t="s">
        <v>113</v>
      </c>
    </row>
    <row r="32" spans="1:14" ht="35.25" customHeight="1" thickBot="1">
      <c r="A32" s="24" t="s">
        <v>39</v>
      </c>
      <c r="B32" s="28"/>
      <c r="C32" s="28"/>
      <c r="D32" s="28">
        <v>1.75</v>
      </c>
      <c r="E32" s="38">
        <v>1000</v>
      </c>
      <c r="F32" s="24"/>
      <c r="G32" s="38"/>
      <c r="H32" s="28">
        <f t="shared" si="3"/>
        <v>22.75</v>
      </c>
      <c r="I32" s="28">
        <v>16.690000000000001</v>
      </c>
      <c r="J32" s="28">
        <v>7.94</v>
      </c>
      <c r="K32" s="28">
        <f t="shared" si="0"/>
        <v>103.22</v>
      </c>
      <c r="L32" s="28">
        <f t="shared" si="1"/>
        <v>119.91</v>
      </c>
      <c r="M32" s="28">
        <f t="shared" si="2"/>
        <v>142.66</v>
      </c>
      <c r="N32" s="71" t="s">
        <v>126</v>
      </c>
    </row>
    <row r="33" spans="1:14" ht="24.75" thickBot="1">
      <c r="A33" s="24" t="s">
        <v>127</v>
      </c>
      <c r="B33" s="28"/>
      <c r="C33" s="28"/>
      <c r="D33" s="28">
        <v>3</v>
      </c>
      <c r="E33" s="38">
        <v>1000</v>
      </c>
      <c r="F33" s="24"/>
      <c r="G33" s="38"/>
      <c r="H33" s="28">
        <f t="shared" si="3"/>
        <v>39</v>
      </c>
      <c r="I33" s="28">
        <v>16.690000000000001</v>
      </c>
      <c r="J33" s="28">
        <v>7.94</v>
      </c>
      <c r="K33" s="28">
        <f t="shared" si="0"/>
        <v>103.22</v>
      </c>
      <c r="L33" s="28">
        <f t="shared" si="1"/>
        <v>119.91</v>
      </c>
      <c r="M33" s="28">
        <f t="shared" si="2"/>
        <v>158.91</v>
      </c>
      <c r="N33" s="71" t="s">
        <v>128</v>
      </c>
    </row>
    <row r="34" spans="1:14">
      <c r="A34" s="7"/>
      <c r="B34" s="7"/>
      <c r="C34" s="7"/>
      <c r="D34" s="7"/>
      <c r="E34" s="7"/>
      <c r="F34" s="7"/>
      <c r="G34" s="7"/>
      <c r="H34" s="7"/>
      <c r="I34" s="7"/>
      <c r="J34" s="7"/>
      <c r="K34" s="7"/>
      <c r="L34" s="7"/>
      <c r="M34" s="7"/>
      <c r="N34" s="20"/>
    </row>
    <row r="35" spans="1:14" ht="60">
      <c r="A35" s="12" t="s">
        <v>12</v>
      </c>
      <c r="B35" s="7" t="s">
        <v>55</v>
      </c>
      <c r="C35" s="7"/>
      <c r="D35" s="7"/>
      <c r="E35" s="7"/>
      <c r="F35" s="7"/>
      <c r="G35" s="7"/>
      <c r="H35" s="7"/>
      <c r="I35" s="7"/>
      <c r="J35" s="7"/>
      <c r="K35" s="7"/>
      <c r="L35" s="7"/>
      <c r="M35" s="7"/>
      <c r="N35" s="20" t="s">
        <v>210</v>
      </c>
    </row>
    <row r="36" spans="1:14">
      <c r="A36" s="7"/>
      <c r="B36" s="7"/>
      <c r="C36" s="7"/>
      <c r="D36" s="7"/>
      <c r="E36" s="7"/>
      <c r="F36" s="7"/>
      <c r="G36" s="7"/>
      <c r="H36" s="7"/>
      <c r="I36" s="7"/>
      <c r="J36" s="7"/>
      <c r="K36" s="7"/>
      <c r="L36" s="7"/>
      <c r="M36" s="7"/>
      <c r="N36" s="20"/>
    </row>
    <row r="37" spans="1:14">
      <c r="A37" s="7"/>
      <c r="B37" s="7" t="s">
        <v>38</v>
      </c>
      <c r="C37" s="7"/>
      <c r="D37" s="7"/>
      <c r="E37" s="7"/>
      <c r="F37" s="7"/>
      <c r="G37" s="7"/>
      <c r="H37" s="7"/>
      <c r="I37" s="7"/>
      <c r="J37" s="7"/>
      <c r="K37" s="7"/>
      <c r="L37" s="7"/>
      <c r="M37" s="7"/>
      <c r="N37" s="21"/>
    </row>
    <row r="38" spans="1:14">
      <c r="A38" s="7"/>
      <c r="B38" s="7"/>
      <c r="C38" s="7"/>
      <c r="D38" s="7"/>
      <c r="E38" s="7"/>
      <c r="F38" s="7"/>
      <c r="G38" s="7"/>
      <c r="H38" s="7"/>
      <c r="I38" s="7"/>
      <c r="J38" s="7"/>
      <c r="K38" s="7"/>
      <c r="L38" s="7"/>
      <c r="M38" s="7"/>
      <c r="N38" s="20"/>
    </row>
    <row r="39" spans="1:14">
      <c r="B39" s="5" t="s">
        <v>209</v>
      </c>
    </row>
    <row r="41" spans="1:14">
      <c r="B41" s="67"/>
    </row>
  </sheetData>
  <sheetProtection formatCells="0" formatColumns="0" formatRows="0"/>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R38"/>
  <sheetViews>
    <sheetView zoomScaleNormal="100" workbookViewId="0">
      <selection activeCell="R12" sqref="R12"/>
    </sheetView>
  </sheetViews>
  <sheetFormatPr defaultColWidth="9.140625" defaultRowHeight="15"/>
  <cols>
    <col min="1" max="1" width="26.5703125" style="5" customWidth="1"/>
    <col min="2" max="2" width="9" style="5" customWidth="1"/>
    <col min="3" max="3" width="10.28515625" style="5" customWidth="1"/>
    <col min="4" max="4" width="8.7109375" style="5" customWidth="1"/>
    <col min="5" max="5" width="10" style="5" customWidth="1"/>
    <col min="6" max="6" width="7.42578125" style="5" customWidth="1"/>
    <col min="7" max="7" width="7.5703125" style="5" customWidth="1"/>
    <col min="8" max="8" width="14.7109375" style="5" customWidth="1"/>
    <col min="9" max="10" width="10.7109375" style="5" customWidth="1"/>
    <col min="11" max="11" width="16.42578125" style="5" customWidth="1"/>
    <col min="12" max="12" width="18.85546875" style="5" customWidth="1"/>
    <col min="13" max="13" width="11.42578125" style="5" bestFit="1" customWidth="1"/>
    <col min="14" max="14" width="44.42578125" style="62" hidden="1" customWidth="1"/>
    <col min="15" max="17" width="9.140625" style="5"/>
    <col min="18" max="18" width="13.85546875" style="5" customWidth="1"/>
    <col min="19" max="16384" width="9.140625" style="5"/>
  </cols>
  <sheetData>
    <row r="1" spans="1:18" ht="18.75">
      <c r="A1" s="10" t="s">
        <v>59</v>
      </c>
    </row>
    <row r="2" spans="1:18" ht="15.75">
      <c r="A2" s="11" t="s">
        <v>13</v>
      </c>
      <c r="L2" s="8"/>
    </row>
    <row r="3" spans="1:18">
      <c r="A3" s="5" t="s">
        <v>57</v>
      </c>
      <c r="B3" s="3"/>
    </row>
    <row r="4" spans="1:18">
      <c r="A4" s="5" t="s">
        <v>60</v>
      </c>
      <c r="C4" s="3"/>
      <c r="D4" s="3"/>
    </row>
    <row r="5" spans="1:18" ht="15.75" thickBot="1">
      <c r="C5" s="3"/>
      <c r="D5" s="3"/>
    </row>
    <row r="6" spans="1:18" ht="36.75" customHeight="1" thickBot="1">
      <c r="A6" s="23" t="s">
        <v>47</v>
      </c>
      <c r="B6" s="24" t="s">
        <v>1</v>
      </c>
      <c r="C6" s="24"/>
      <c r="D6" s="24" t="s">
        <v>31</v>
      </c>
      <c r="E6" s="24"/>
      <c r="F6" s="24" t="s">
        <v>2</v>
      </c>
      <c r="G6" s="24"/>
      <c r="H6" s="23" t="s">
        <v>50</v>
      </c>
      <c r="I6" s="23" t="s">
        <v>43</v>
      </c>
      <c r="J6" s="23" t="s">
        <v>44</v>
      </c>
      <c r="K6" s="23" t="s">
        <v>3</v>
      </c>
      <c r="L6" s="23" t="s">
        <v>53</v>
      </c>
      <c r="M6" s="23" t="s">
        <v>49</v>
      </c>
      <c r="N6" s="63" t="s">
        <v>65</v>
      </c>
    </row>
    <row r="7" spans="1:18" ht="45.75" thickBot="1">
      <c r="A7" s="26"/>
      <c r="B7" s="24" t="s">
        <v>4</v>
      </c>
      <c r="C7" s="24" t="s">
        <v>5</v>
      </c>
      <c r="D7" s="24" t="s">
        <v>6</v>
      </c>
      <c r="E7" s="24" t="s">
        <v>7</v>
      </c>
      <c r="F7" s="24" t="s">
        <v>6</v>
      </c>
      <c r="G7" s="24" t="s">
        <v>8</v>
      </c>
      <c r="H7" s="27" t="s">
        <v>51</v>
      </c>
      <c r="I7" s="27" t="s">
        <v>9</v>
      </c>
      <c r="J7" s="27" t="s">
        <v>45</v>
      </c>
      <c r="K7" s="27" t="s">
        <v>52</v>
      </c>
      <c r="L7" s="27" t="s">
        <v>52</v>
      </c>
      <c r="M7" s="27" t="s">
        <v>54</v>
      </c>
      <c r="N7" s="64"/>
      <c r="O7" s="6"/>
      <c r="P7" s="6"/>
      <c r="Q7" s="6"/>
      <c r="R7" s="6"/>
    </row>
    <row r="8" spans="1:18" ht="96.75" thickBot="1">
      <c r="A8" s="24" t="s">
        <v>40</v>
      </c>
      <c r="B8" s="28"/>
      <c r="C8" s="28"/>
      <c r="D8" s="28">
        <v>2.5</v>
      </c>
      <c r="E8" s="38">
        <v>1000</v>
      </c>
      <c r="F8" s="28"/>
      <c r="G8" s="38"/>
      <c r="H8" s="28">
        <f>(C8)+(D8*13)</f>
        <v>32.5</v>
      </c>
      <c r="I8" s="28">
        <v>16.690000000000001</v>
      </c>
      <c r="J8" s="28">
        <v>7.94</v>
      </c>
      <c r="K8" s="28">
        <f>7.94*13</f>
        <v>103.22</v>
      </c>
      <c r="L8" s="28">
        <f>I8+K8</f>
        <v>119.91</v>
      </c>
      <c r="M8" s="28">
        <f t="shared" ref="M8:M34" si="0">H8+L8</f>
        <v>152.41</v>
      </c>
      <c r="N8" s="60" t="s">
        <v>148</v>
      </c>
      <c r="O8" s="8"/>
      <c r="P8" s="8"/>
      <c r="Q8" s="8"/>
      <c r="R8" s="8"/>
    </row>
    <row r="9" spans="1:18" ht="36.75" thickBot="1">
      <c r="A9" s="24" t="s">
        <v>183</v>
      </c>
      <c r="B9" s="28"/>
      <c r="C9" s="28">
        <v>9.9499999999999993</v>
      </c>
      <c r="D9" s="28">
        <v>2.1</v>
      </c>
      <c r="E9" s="38">
        <v>1000</v>
      </c>
      <c r="F9" s="28"/>
      <c r="G9" s="38"/>
      <c r="H9" s="28">
        <f t="shared" ref="H9:H31" si="1">(C9)+(D9*13)</f>
        <v>37.25</v>
      </c>
      <c r="I9" s="28">
        <v>16.690000000000001</v>
      </c>
      <c r="J9" s="28">
        <v>7.94</v>
      </c>
      <c r="K9" s="28">
        <f t="shared" ref="K9:K34" si="2">7.94*13</f>
        <v>103.22</v>
      </c>
      <c r="L9" s="28">
        <f t="shared" ref="L9:L21" si="3">I9+K9</f>
        <v>119.91</v>
      </c>
      <c r="M9" s="28">
        <f t="shared" si="0"/>
        <v>157.16</v>
      </c>
      <c r="N9" s="60" t="s">
        <v>108</v>
      </c>
      <c r="O9" s="8"/>
      <c r="P9" s="8"/>
      <c r="Q9" s="8"/>
      <c r="R9" s="8"/>
    </row>
    <row r="10" spans="1:18" ht="48.75" thickBot="1">
      <c r="A10" s="24" t="s">
        <v>139</v>
      </c>
      <c r="B10" s="28"/>
      <c r="C10" s="28">
        <v>2</v>
      </c>
      <c r="D10" s="28">
        <v>2.5</v>
      </c>
      <c r="E10" s="38">
        <v>1000</v>
      </c>
      <c r="F10" s="28" t="s">
        <v>10</v>
      </c>
      <c r="G10" s="38" t="s">
        <v>10</v>
      </c>
      <c r="H10" s="28">
        <f t="shared" si="1"/>
        <v>34.5</v>
      </c>
      <c r="I10" s="28">
        <v>16.690000000000001</v>
      </c>
      <c r="J10" s="28">
        <v>7.94</v>
      </c>
      <c r="K10" s="28">
        <f t="shared" si="2"/>
        <v>103.22</v>
      </c>
      <c r="L10" s="28">
        <f t="shared" si="3"/>
        <v>119.91</v>
      </c>
      <c r="M10" s="28">
        <f t="shared" si="0"/>
        <v>154.41</v>
      </c>
      <c r="N10" s="60" t="s">
        <v>138</v>
      </c>
      <c r="O10" s="8"/>
      <c r="P10" s="8"/>
      <c r="Q10" s="8"/>
      <c r="R10" s="8"/>
    </row>
    <row r="11" spans="1:18" ht="60.75" thickBot="1">
      <c r="A11" s="24" t="s">
        <v>184</v>
      </c>
      <c r="B11" s="28"/>
      <c r="C11" s="28"/>
      <c r="D11" s="28">
        <v>0</v>
      </c>
      <c r="E11" s="38">
        <v>1000</v>
      </c>
      <c r="F11" s="28"/>
      <c r="G11" s="38"/>
      <c r="H11" s="28">
        <f t="shared" si="1"/>
        <v>0</v>
      </c>
      <c r="I11" s="28">
        <v>16.690000000000001</v>
      </c>
      <c r="J11" s="28">
        <v>7.94</v>
      </c>
      <c r="K11" s="28">
        <f t="shared" si="2"/>
        <v>103.22</v>
      </c>
      <c r="L11" s="28">
        <f t="shared" si="3"/>
        <v>119.91</v>
      </c>
      <c r="M11" s="28">
        <f t="shared" si="0"/>
        <v>119.91</v>
      </c>
      <c r="N11" s="60" t="s">
        <v>149</v>
      </c>
      <c r="O11" s="8"/>
      <c r="P11" s="8"/>
      <c r="Q11" s="8"/>
      <c r="R11" s="8"/>
    </row>
    <row r="12" spans="1:18" ht="24.75" thickBot="1">
      <c r="A12" s="24" t="s">
        <v>150</v>
      </c>
      <c r="B12" s="28"/>
      <c r="C12" s="28"/>
      <c r="D12" s="28">
        <v>5</v>
      </c>
      <c r="E12" s="38">
        <v>1000</v>
      </c>
      <c r="F12" s="28"/>
      <c r="G12" s="38"/>
      <c r="H12" s="28">
        <f t="shared" si="1"/>
        <v>65</v>
      </c>
      <c r="I12" s="28">
        <v>16.690000000000001</v>
      </c>
      <c r="J12" s="28">
        <v>7.94</v>
      </c>
      <c r="K12" s="28">
        <f t="shared" si="2"/>
        <v>103.22</v>
      </c>
      <c r="L12" s="28">
        <f t="shared" si="3"/>
        <v>119.91</v>
      </c>
      <c r="M12" s="28">
        <f t="shared" si="0"/>
        <v>184.91</v>
      </c>
      <c r="N12" s="60" t="s">
        <v>188</v>
      </c>
      <c r="O12" s="8"/>
      <c r="P12" s="8"/>
      <c r="Q12" s="8"/>
      <c r="R12" s="8"/>
    </row>
    <row r="13" spans="1:18" ht="162.75" customHeight="1" thickBot="1">
      <c r="A13" s="24" t="s">
        <v>41</v>
      </c>
      <c r="B13" s="28"/>
      <c r="C13" s="28">
        <f>45</f>
        <v>45</v>
      </c>
      <c r="D13" s="28">
        <f>26.69-16.69-7.94</f>
        <v>2.0599999999999996</v>
      </c>
      <c r="E13" s="38">
        <v>1000</v>
      </c>
      <c r="F13" s="28">
        <f>10-7.94</f>
        <v>2.0599999999999996</v>
      </c>
      <c r="G13" s="38">
        <v>1001</v>
      </c>
      <c r="H13" s="28">
        <f>(C13)+D13 +(F13*12)</f>
        <v>71.78</v>
      </c>
      <c r="I13" s="28">
        <v>16.690000000000001</v>
      </c>
      <c r="J13" s="28">
        <v>7.94</v>
      </c>
      <c r="K13" s="28">
        <f t="shared" si="2"/>
        <v>103.22</v>
      </c>
      <c r="L13" s="28">
        <f t="shared" si="3"/>
        <v>119.91</v>
      </c>
      <c r="M13" s="28">
        <f>H13+L13</f>
        <v>191.69</v>
      </c>
      <c r="N13" s="60" t="s">
        <v>169</v>
      </c>
      <c r="O13" s="8"/>
      <c r="P13" s="8"/>
      <c r="Q13" s="8"/>
      <c r="R13" s="8"/>
    </row>
    <row r="14" spans="1:18" ht="69" customHeight="1" thickBot="1">
      <c r="A14" s="24" t="s">
        <v>151</v>
      </c>
      <c r="B14" s="28"/>
      <c r="C14" s="28">
        <f>18.69-16.69</f>
        <v>2</v>
      </c>
      <c r="D14" s="28">
        <f>13.29-7.94</f>
        <v>5.3499999999999988</v>
      </c>
      <c r="E14" s="38">
        <v>1000</v>
      </c>
      <c r="F14" s="28" t="s">
        <v>10</v>
      </c>
      <c r="G14" s="38" t="s">
        <v>10</v>
      </c>
      <c r="H14" s="28">
        <f t="shared" si="1"/>
        <v>71.549999999999983</v>
      </c>
      <c r="I14" s="28">
        <v>16.690000000000001</v>
      </c>
      <c r="J14" s="28">
        <v>7.94</v>
      </c>
      <c r="K14" s="28">
        <f t="shared" si="2"/>
        <v>103.22</v>
      </c>
      <c r="L14" s="28">
        <f t="shared" si="3"/>
        <v>119.91</v>
      </c>
      <c r="M14" s="28">
        <f t="shared" si="0"/>
        <v>191.45999999999998</v>
      </c>
      <c r="N14" s="60" t="s">
        <v>152</v>
      </c>
      <c r="O14" s="8"/>
      <c r="P14" s="8"/>
      <c r="Q14" s="8"/>
      <c r="R14" s="8"/>
    </row>
    <row r="15" spans="1:18" ht="36.75" customHeight="1" thickBot="1">
      <c r="A15" s="34" t="s">
        <v>23</v>
      </c>
      <c r="B15" s="33">
        <v>8.91</v>
      </c>
      <c r="C15" s="33"/>
      <c r="D15" s="33">
        <v>4.03</v>
      </c>
      <c r="E15" s="35">
        <v>1000</v>
      </c>
      <c r="F15" s="33"/>
      <c r="G15" s="35"/>
      <c r="H15" s="33">
        <f>(B15*3)+(D15*13)</f>
        <v>79.12</v>
      </c>
      <c r="I15" s="33">
        <v>16.690000000000001</v>
      </c>
      <c r="J15" s="33">
        <v>7.94</v>
      </c>
      <c r="K15" s="33">
        <f t="shared" si="2"/>
        <v>103.22</v>
      </c>
      <c r="L15" s="33">
        <f t="shared" si="3"/>
        <v>119.91</v>
      </c>
      <c r="M15" s="33">
        <f t="shared" si="0"/>
        <v>199.03</v>
      </c>
      <c r="N15" s="61" t="s">
        <v>87</v>
      </c>
      <c r="O15" s="8"/>
      <c r="P15" s="8"/>
      <c r="Q15" s="8"/>
      <c r="R15" s="8"/>
    </row>
    <row r="16" spans="1:18" ht="46.5" customHeight="1" thickBot="1">
      <c r="A16" s="24" t="s">
        <v>142</v>
      </c>
      <c r="B16" s="28"/>
      <c r="C16" s="28">
        <v>60</v>
      </c>
      <c r="D16" s="28">
        <v>4.66</v>
      </c>
      <c r="E16" s="38">
        <v>1000</v>
      </c>
      <c r="F16" s="28" t="s">
        <v>10</v>
      </c>
      <c r="G16" s="38" t="s">
        <v>10</v>
      </c>
      <c r="H16" s="28">
        <f t="shared" si="1"/>
        <v>120.58</v>
      </c>
      <c r="I16" s="28">
        <v>16.690000000000001</v>
      </c>
      <c r="J16" s="28">
        <v>7.94</v>
      </c>
      <c r="K16" s="28">
        <f t="shared" si="2"/>
        <v>103.22</v>
      </c>
      <c r="L16" s="28">
        <f t="shared" si="3"/>
        <v>119.91</v>
      </c>
      <c r="M16" s="28">
        <f t="shared" si="0"/>
        <v>240.49</v>
      </c>
      <c r="N16" s="60" t="s">
        <v>141</v>
      </c>
      <c r="O16" s="8"/>
      <c r="P16" s="8"/>
      <c r="Q16" s="8"/>
      <c r="R16" s="8"/>
    </row>
    <row r="17" spans="1:18" ht="81.75" customHeight="1" thickBot="1">
      <c r="A17" s="34" t="s">
        <v>72</v>
      </c>
      <c r="B17" s="33"/>
      <c r="C17" s="33">
        <f>21.25-16.69</f>
        <v>4.5599999999999987</v>
      </c>
      <c r="D17" s="33">
        <f>7.4-7.94</f>
        <v>-0.54</v>
      </c>
      <c r="E17" s="35">
        <v>1000</v>
      </c>
      <c r="F17" s="33"/>
      <c r="G17" s="35"/>
      <c r="H17" s="33">
        <f t="shared" si="1"/>
        <v>-2.4600000000000017</v>
      </c>
      <c r="I17" s="33">
        <v>16.690000000000001</v>
      </c>
      <c r="J17" s="33">
        <v>7.94</v>
      </c>
      <c r="K17" s="33">
        <f t="shared" si="2"/>
        <v>103.22</v>
      </c>
      <c r="L17" s="33">
        <f t="shared" si="3"/>
        <v>119.91</v>
      </c>
      <c r="M17" s="33">
        <f t="shared" si="0"/>
        <v>117.44999999999999</v>
      </c>
      <c r="N17" s="61" t="s">
        <v>157</v>
      </c>
      <c r="O17" s="8"/>
      <c r="P17" s="8"/>
      <c r="Q17" s="8"/>
      <c r="R17" s="8"/>
    </row>
    <row r="18" spans="1:18" ht="91.5" customHeight="1" thickBot="1">
      <c r="A18" s="24" t="s">
        <v>26</v>
      </c>
      <c r="B18" s="28"/>
      <c r="C18" s="28">
        <v>75</v>
      </c>
      <c r="D18" s="28">
        <v>2.25</v>
      </c>
      <c r="E18" s="38">
        <v>1000</v>
      </c>
      <c r="F18" s="28"/>
      <c r="G18" s="38"/>
      <c r="H18" s="28">
        <f>(C18)+(D18*13)</f>
        <v>104.25</v>
      </c>
      <c r="I18" s="28">
        <v>16.690000000000001</v>
      </c>
      <c r="J18" s="28">
        <v>7.94</v>
      </c>
      <c r="K18" s="28">
        <f t="shared" si="2"/>
        <v>103.22</v>
      </c>
      <c r="L18" s="28">
        <f t="shared" si="3"/>
        <v>119.91</v>
      </c>
      <c r="M18" s="28">
        <f>H18+L18</f>
        <v>224.16</v>
      </c>
      <c r="N18" s="60" t="s">
        <v>154</v>
      </c>
      <c r="O18" s="8"/>
      <c r="P18" s="8"/>
      <c r="Q18" s="8"/>
      <c r="R18" s="8"/>
    </row>
    <row r="19" spans="1:18" ht="82.5" customHeight="1" thickBot="1">
      <c r="A19" s="24" t="s">
        <v>27</v>
      </c>
      <c r="B19" s="28"/>
      <c r="C19" s="28">
        <v>50</v>
      </c>
      <c r="D19" s="28">
        <v>2.25</v>
      </c>
      <c r="E19" s="38">
        <v>1000</v>
      </c>
      <c r="F19" s="28"/>
      <c r="G19" s="38"/>
      <c r="H19" s="28">
        <f t="shared" si="1"/>
        <v>79.25</v>
      </c>
      <c r="I19" s="28">
        <v>16.690000000000001</v>
      </c>
      <c r="J19" s="28">
        <v>7.94</v>
      </c>
      <c r="K19" s="28">
        <f t="shared" si="2"/>
        <v>103.22</v>
      </c>
      <c r="L19" s="28">
        <f t="shared" si="3"/>
        <v>119.91</v>
      </c>
      <c r="M19" s="28">
        <f t="shared" si="0"/>
        <v>199.16</v>
      </c>
      <c r="N19" s="60" t="s">
        <v>155</v>
      </c>
      <c r="O19" s="8"/>
      <c r="P19" s="8"/>
      <c r="Q19" s="8"/>
      <c r="R19" s="8"/>
    </row>
    <row r="20" spans="1:18" ht="149.25" customHeight="1" thickBot="1">
      <c r="A20" s="24" t="s">
        <v>153</v>
      </c>
      <c r="B20" s="28"/>
      <c r="C20" s="28"/>
      <c r="D20" s="28">
        <v>2.25</v>
      </c>
      <c r="E20" s="38">
        <v>1000</v>
      </c>
      <c r="F20" s="28"/>
      <c r="G20" s="38"/>
      <c r="H20" s="28">
        <f t="shared" si="1"/>
        <v>29.25</v>
      </c>
      <c r="I20" s="28">
        <v>16.690000000000001</v>
      </c>
      <c r="J20" s="28">
        <v>7.94</v>
      </c>
      <c r="K20" s="28">
        <f t="shared" si="2"/>
        <v>103.22</v>
      </c>
      <c r="L20" s="28">
        <f t="shared" si="3"/>
        <v>119.91</v>
      </c>
      <c r="M20" s="28">
        <f t="shared" si="0"/>
        <v>149.16</v>
      </c>
      <c r="N20" s="60" t="s">
        <v>156</v>
      </c>
      <c r="O20" s="8"/>
      <c r="P20" s="8"/>
      <c r="Q20" s="8"/>
      <c r="R20" s="8"/>
    </row>
    <row r="21" spans="1:18" ht="52.5" customHeight="1" thickBot="1">
      <c r="A21" s="24" t="s">
        <v>189</v>
      </c>
      <c r="B21" s="28"/>
      <c r="C21" s="28">
        <f>18.69-16.69</f>
        <v>2</v>
      </c>
      <c r="D21" s="28">
        <f>11.94-7.94</f>
        <v>3.9999999999999991</v>
      </c>
      <c r="E21" s="38">
        <v>1000</v>
      </c>
      <c r="F21" s="28"/>
      <c r="G21" s="38"/>
      <c r="H21" s="28">
        <f t="shared" si="1"/>
        <v>53.999999999999986</v>
      </c>
      <c r="I21" s="28">
        <v>16.690000000000001</v>
      </c>
      <c r="J21" s="28">
        <v>7.94</v>
      </c>
      <c r="K21" s="28">
        <f t="shared" si="2"/>
        <v>103.22</v>
      </c>
      <c r="L21" s="28">
        <f t="shared" si="3"/>
        <v>119.91</v>
      </c>
      <c r="M21" s="28">
        <f t="shared" si="0"/>
        <v>173.90999999999997</v>
      </c>
      <c r="N21" s="66" t="s">
        <v>190</v>
      </c>
      <c r="O21" s="8"/>
      <c r="P21" s="8"/>
      <c r="Q21" s="8"/>
      <c r="R21" s="8"/>
    </row>
    <row r="22" spans="1:18" ht="87" customHeight="1" thickBot="1">
      <c r="A22" s="34" t="s">
        <v>30</v>
      </c>
      <c r="B22" s="33"/>
      <c r="C22" s="33">
        <f>21.25-16.69</f>
        <v>4.5599999999999987</v>
      </c>
      <c r="D22" s="33">
        <f>7.4-7.94</f>
        <v>-0.54</v>
      </c>
      <c r="E22" s="35">
        <v>1000</v>
      </c>
      <c r="F22" s="33"/>
      <c r="G22" s="35"/>
      <c r="H22" s="33">
        <f t="shared" si="1"/>
        <v>-2.4600000000000017</v>
      </c>
      <c r="I22" s="33">
        <v>16.690000000000001</v>
      </c>
      <c r="J22" s="33">
        <v>7.94</v>
      </c>
      <c r="K22" s="33">
        <f>7.94*13</f>
        <v>103.22</v>
      </c>
      <c r="L22" s="33">
        <f>I22+K22</f>
        <v>119.91</v>
      </c>
      <c r="M22" s="33">
        <f t="shared" si="0"/>
        <v>117.44999999999999</v>
      </c>
      <c r="N22" s="61" t="s">
        <v>73</v>
      </c>
      <c r="O22" s="8"/>
      <c r="P22" s="8"/>
      <c r="Q22" s="8"/>
      <c r="R22" s="8"/>
    </row>
    <row r="23" spans="1:18" ht="171" customHeight="1" thickBot="1">
      <c r="A23" s="24" t="s">
        <v>191</v>
      </c>
      <c r="B23" s="28">
        <f>6.36-5.56</f>
        <v>0.80000000000000071</v>
      </c>
      <c r="C23" s="28"/>
      <c r="D23" s="28">
        <v>13.5</v>
      </c>
      <c r="E23" s="38">
        <v>5000</v>
      </c>
      <c r="F23" s="28">
        <f>14.19-7.94</f>
        <v>6.2499999999999991</v>
      </c>
      <c r="G23" s="38">
        <v>5001</v>
      </c>
      <c r="H23" s="28">
        <f>(B23*3)+D23+(F23*8)</f>
        <v>65.899999999999991</v>
      </c>
      <c r="I23" s="28">
        <v>16.690000000000001</v>
      </c>
      <c r="J23" s="28">
        <v>7.94</v>
      </c>
      <c r="K23" s="28">
        <f t="shared" si="2"/>
        <v>103.22</v>
      </c>
      <c r="L23" s="28">
        <f t="shared" ref="L23:L34" si="4">I23+K23</f>
        <v>119.91</v>
      </c>
      <c r="M23" s="28">
        <f>H23+L23</f>
        <v>185.81</v>
      </c>
      <c r="N23" s="60" t="s">
        <v>205</v>
      </c>
      <c r="O23" s="8"/>
      <c r="P23" s="8"/>
      <c r="Q23" s="8"/>
      <c r="R23" s="8"/>
    </row>
    <row r="24" spans="1:18" ht="76.5" customHeight="1" thickBot="1">
      <c r="A24" s="24" t="s">
        <v>165</v>
      </c>
      <c r="B24" s="28"/>
      <c r="C24" s="28">
        <f>10.61-16.69</f>
        <v>-6.0800000000000018</v>
      </c>
      <c r="D24" s="28">
        <f>17.3-7.94</f>
        <v>9.36</v>
      </c>
      <c r="E24" s="38">
        <v>1000</v>
      </c>
      <c r="F24" s="28"/>
      <c r="G24" s="38"/>
      <c r="H24" s="28">
        <f>(C24)+(D24*13)</f>
        <v>115.6</v>
      </c>
      <c r="I24" s="28">
        <v>16.690000000000001</v>
      </c>
      <c r="J24" s="28">
        <v>7.94</v>
      </c>
      <c r="K24" s="28">
        <f t="shared" si="2"/>
        <v>103.22</v>
      </c>
      <c r="L24" s="28">
        <f t="shared" si="4"/>
        <v>119.91</v>
      </c>
      <c r="M24" s="28">
        <f t="shared" si="0"/>
        <v>235.51</v>
      </c>
      <c r="N24" s="60" t="s">
        <v>166</v>
      </c>
      <c r="O24" s="8"/>
      <c r="P24" s="8"/>
      <c r="Q24" s="8"/>
      <c r="R24" s="8"/>
    </row>
    <row r="25" spans="1:18" ht="48.75" thickBot="1">
      <c r="A25" s="24" t="s">
        <v>32</v>
      </c>
      <c r="B25" s="28"/>
      <c r="C25" s="28">
        <v>5.75</v>
      </c>
      <c r="D25" s="28">
        <v>2.35</v>
      </c>
      <c r="E25" s="38">
        <v>1000</v>
      </c>
      <c r="F25" s="28"/>
      <c r="G25" s="38"/>
      <c r="H25" s="28">
        <f t="shared" si="1"/>
        <v>36.299999999999997</v>
      </c>
      <c r="I25" s="28">
        <v>16.690000000000001</v>
      </c>
      <c r="J25" s="28">
        <v>7.94</v>
      </c>
      <c r="K25" s="28">
        <f t="shared" si="2"/>
        <v>103.22</v>
      </c>
      <c r="L25" s="28">
        <f t="shared" si="4"/>
        <v>119.91</v>
      </c>
      <c r="M25" s="28">
        <f t="shared" si="0"/>
        <v>156.20999999999998</v>
      </c>
      <c r="N25" s="60" t="s">
        <v>141</v>
      </c>
      <c r="O25" s="8"/>
      <c r="P25" s="8"/>
      <c r="Q25" s="8"/>
      <c r="R25" s="8"/>
    </row>
    <row r="26" spans="1:18" ht="60.75" thickBot="1">
      <c r="A26" s="34" t="s">
        <v>22</v>
      </c>
      <c r="B26" s="33"/>
      <c r="C26" s="33">
        <f>60.76-16.69</f>
        <v>44.069999999999993</v>
      </c>
      <c r="D26" s="33">
        <f>10.05-7.94</f>
        <v>2.1100000000000003</v>
      </c>
      <c r="E26" s="35">
        <v>1000</v>
      </c>
      <c r="F26" s="33"/>
      <c r="G26" s="35"/>
      <c r="H26" s="33">
        <f>(C26)+(D26*13)</f>
        <v>71.5</v>
      </c>
      <c r="I26" s="33">
        <v>16.690000000000001</v>
      </c>
      <c r="J26" s="33">
        <v>7.94</v>
      </c>
      <c r="K26" s="33">
        <f t="shared" si="2"/>
        <v>103.22</v>
      </c>
      <c r="L26" s="33">
        <f t="shared" si="4"/>
        <v>119.91</v>
      </c>
      <c r="M26" s="33">
        <f>H26+L26</f>
        <v>191.41</v>
      </c>
      <c r="N26" s="61" t="s">
        <v>86</v>
      </c>
      <c r="O26" s="8"/>
      <c r="P26" s="8"/>
      <c r="Q26" s="8"/>
      <c r="R26" s="8"/>
    </row>
    <row r="27" spans="1:18" ht="80.25" customHeight="1" thickBot="1">
      <c r="A27" s="43" t="s">
        <v>11</v>
      </c>
      <c r="B27" s="33"/>
      <c r="C27" s="33"/>
      <c r="D27" s="33">
        <f>8.28*3</f>
        <v>24.839999999999996</v>
      </c>
      <c r="E27" s="35">
        <v>3000</v>
      </c>
      <c r="F27" s="33">
        <v>7.43</v>
      </c>
      <c r="G27" s="35">
        <v>3001</v>
      </c>
      <c r="H27" s="33">
        <f>D27+(F27*10)</f>
        <v>99.139999999999986</v>
      </c>
      <c r="I27" s="33">
        <v>16.690000000000001</v>
      </c>
      <c r="J27" s="33">
        <v>7.94</v>
      </c>
      <c r="K27" s="33">
        <f t="shared" si="2"/>
        <v>103.22</v>
      </c>
      <c r="L27" s="33">
        <f t="shared" si="4"/>
        <v>119.91</v>
      </c>
      <c r="M27" s="33">
        <f t="shared" ref="M27" si="5">H27+L27</f>
        <v>219.04999999999998</v>
      </c>
      <c r="N27" s="61" t="s">
        <v>81</v>
      </c>
      <c r="O27" s="8"/>
      <c r="P27" s="8"/>
      <c r="Q27" s="8"/>
      <c r="R27" s="8"/>
    </row>
    <row r="28" spans="1:18" ht="48.75" thickBot="1">
      <c r="A28" s="24" t="s">
        <v>28</v>
      </c>
      <c r="B28" s="28"/>
      <c r="C28" s="28"/>
      <c r="D28" s="28">
        <f>10.08-7.94</f>
        <v>2.1399999999999997</v>
      </c>
      <c r="E28" s="38">
        <v>1000</v>
      </c>
      <c r="F28" s="28"/>
      <c r="G28" s="38"/>
      <c r="H28" s="28">
        <f>D28*13</f>
        <v>27.819999999999997</v>
      </c>
      <c r="I28" s="28">
        <v>16.690000000000001</v>
      </c>
      <c r="J28" s="28">
        <v>7.94</v>
      </c>
      <c r="K28" s="28">
        <f t="shared" si="2"/>
        <v>103.22</v>
      </c>
      <c r="L28" s="28">
        <f t="shared" si="4"/>
        <v>119.91</v>
      </c>
      <c r="M28" s="28">
        <f t="shared" si="0"/>
        <v>147.72999999999999</v>
      </c>
      <c r="N28" s="60" t="s">
        <v>158</v>
      </c>
      <c r="O28" s="8"/>
      <c r="P28" s="8"/>
      <c r="Q28" s="8"/>
      <c r="R28" s="8"/>
    </row>
    <row r="29" spans="1:18" ht="102.75" customHeight="1" thickBot="1">
      <c r="A29" s="24" t="s">
        <v>29</v>
      </c>
      <c r="B29" s="28"/>
      <c r="C29" s="28">
        <v>2</v>
      </c>
      <c r="D29" s="28">
        <f>12.58-7.94</f>
        <v>4.6399999999999997</v>
      </c>
      <c r="E29" s="38">
        <v>1000</v>
      </c>
      <c r="F29" s="28"/>
      <c r="G29" s="38"/>
      <c r="H29" s="28">
        <f>(D29)*13</f>
        <v>60.319999999999993</v>
      </c>
      <c r="I29" s="28">
        <v>16.690000000000001</v>
      </c>
      <c r="J29" s="28">
        <v>7.94</v>
      </c>
      <c r="K29" s="28">
        <f t="shared" si="2"/>
        <v>103.22</v>
      </c>
      <c r="L29" s="28">
        <f t="shared" si="4"/>
        <v>119.91</v>
      </c>
      <c r="M29" s="28">
        <f t="shared" si="0"/>
        <v>180.23</v>
      </c>
      <c r="N29" s="60" t="s">
        <v>159</v>
      </c>
      <c r="O29" s="8"/>
      <c r="P29" s="8"/>
      <c r="Q29" s="8"/>
      <c r="R29" s="8"/>
    </row>
    <row r="30" spans="1:18" ht="30" customHeight="1" thickBot="1">
      <c r="A30" s="34" t="s">
        <v>91</v>
      </c>
      <c r="B30" s="33">
        <v>1.5</v>
      </c>
      <c r="C30" s="33"/>
      <c r="D30" s="33">
        <v>4.5</v>
      </c>
      <c r="E30" s="35">
        <v>1000</v>
      </c>
      <c r="F30" s="33"/>
      <c r="G30" s="35"/>
      <c r="H30" s="33">
        <f>(B30*3)+(D30*13)</f>
        <v>63</v>
      </c>
      <c r="I30" s="33">
        <v>16.690000000000001</v>
      </c>
      <c r="J30" s="33">
        <v>7.94</v>
      </c>
      <c r="K30" s="33">
        <f t="shared" si="2"/>
        <v>103.22</v>
      </c>
      <c r="L30" s="33">
        <f t="shared" si="4"/>
        <v>119.91</v>
      </c>
      <c r="M30" s="33">
        <f t="shared" si="0"/>
        <v>182.91</v>
      </c>
      <c r="N30" s="61" t="s">
        <v>90</v>
      </c>
      <c r="O30" s="8"/>
      <c r="P30" s="8"/>
      <c r="Q30" s="8"/>
      <c r="R30" s="8"/>
    </row>
    <row r="31" spans="1:18" ht="36.75" thickBot="1">
      <c r="A31" s="34" t="s">
        <v>92</v>
      </c>
      <c r="B31" s="33"/>
      <c r="C31" s="33">
        <f>6.32/2*3</f>
        <v>9.48</v>
      </c>
      <c r="D31" s="33">
        <v>2</v>
      </c>
      <c r="E31" s="35">
        <v>1000</v>
      </c>
      <c r="F31" s="33" t="s">
        <v>10</v>
      </c>
      <c r="G31" s="35" t="s">
        <v>10</v>
      </c>
      <c r="H31" s="33">
        <f t="shared" si="1"/>
        <v>35.480000000000004</v>
      </c>
      <c r="I31" s="33">
        <v>16.690000000000001</v>
      </c>
      <c r="J31" s="33">
        <v>7.94</v>
      </c>
      <c r="K31" s="33">
        <f t="shared" si="2"/>
        <v>103.22</v>
      </c>
      <c r="L31" s="33">
        <f t="shared" si="4"/>
        <v>119.91</v>
      </c>
      <c r="M31" s="33">
        <f t="shared" si="0"/>
        <v>155.38999999999999</v>
      </c>
      <c r="N31" s="61" t="s">
        <v>93</v>
      </c>
      <c r="O31" s="8"/>
      <c r="P31" s="8"/>
      <c r="Q31" s="8"/>
      <c r="R31" s="8"/>
    </row>
    <row r="32" spans="1:18" ht="69" customHeight="1" thickBot="1">
      <c r="A32" s="24" t="s">
        <v>143</v>
      </c>
      <c r="B32" s="28"/>
      <c r="C32" s="28"/>
      <c r="D32" s="28">
        <f>8.5*1.5</f>
        <v>12.75</v>
      </c>
      <c r="E32" s="38">
        <v>3000</v>
      </c>
      <c r="F32" s="28">
        <v>2.5</v>
      </c>
      <c r="G32" s="38">
        <v>3001</v>
      </c>
      <c r="H32" s="28">
        <f>(D32)+(F32*10)</f>
        <v>37.75</v>
      </c>
      <c r="I32" s="28">
        <v>16.690000000000001</v>
      </c>
      <c r="J32" s="28">
        <v>7.94</v>
      </c>
      <c r="K32" s="28">
        <f t="shared" si="2"/>
        <v>103.22</v>
      </c>
      <c r="L32" s="28">
        <f t="shared" si="4"/>
        <v>119.91</v>
      </c>
      <c r="M32" s="28">
        <f t="shared" si="0"/>
        <v>157.66</v>
      </c>
      <c r="N32" s="60" t="s">
        <v>192</v>
      </c>
      <c r="O32" s="8"/>
      <c r="P32" s="8"/>
      <c r="Q32" s="8"/>
      <c r="R32" s="8"/>
    </row>
    <row r="33" spans="1:18" ht="180.75" thickBot="1">
      <c r="A33" s="24" t="s">
        <v>14</v>
      </c>
      <c r="B33" s="28"/>
      <c r="C33" s="28"/>
      <c r="D33" s="28">
        <f>(32.46*1.5)-16.69 -(3*7.94)</f>
        <v>8.1799999999999962</v>
      </c>
      <c r="E33" s="38">
        <v>3000</v>
      </c>
      <c r="F33" s="28">
        <f>9.1-7.94</f>
        <v>1.1599999999999993</v>
      </c>
      <c r="G33" s="38">
        <v>3001</v>
      </c>
      <c r="H33" s="28">
        <f>(D33)+(F33*10)</f>
        <v>19.779999999999987</v>
      </c>
      <c r="I33" s="28">
        <v>16.690000000000001</v>
      </c>
      <c r="J33" s="28">
        <v>7.94</v>
      </c>
      <c r="K33" s="28">
        <f t="shared" si="2"/>
        <v>103.22</v>
      </c>
      <c r="L33" s="28">
        <f t="shared" si="4"/>
        <v>119.91</v>
      </c>
      <c r="M33" s="28">
        <f>H33+L33</f>
        <v>139.69</v>
      </c>
      <c r="N33" s="60" t="s">
        <v>193</v>
      </c>
      <c r="O33" s="8"/>
      <c r="P33" s="8"/>
      <c r="Q33" s="8"/>
      <c r="R33" s="8"/>
    </row>
    <row r="34" spans="1:18" ht="47.25" customHeight="1" thickBot="1">
      <c r="A34" s="24" t="s">
        <v>130</v>
      </c>
      <c r="B34" s="28">
        <v>13.15</v>
      </c>
      <c r="C34" s="28"/>
      <c r="D34" s="28">
        <v>3.99</v>
      </c>
      <c r="E34" s="38">
        <v>1000</v>
      </c>
      <c r="F34" s="28"/>
      <c r="G34" s="38"/>
      <c r="H34" s="28">
        <f>(B34*3)+(D34*13)</f>
        <v>91.320000000000007</v>
      </c>
      <c r="I34" s="28">
        <v>16.690000000000001</v>
      </c>
      <c r="J34" s="28">
        <v>7.94</v>
      </c>
      <c r="K34" s="28">
        <f t="shared" si="2"/>
        <v>103.22</v>
      </c>
      <c r="L34" s="28">
        <f t="shared" si="4"/>
        <v>119.91</v>
      </c>
      <c r="M34" s="28">
        <f t="shared" si="0"/>
        <v>211.23000000000002</v>
      </c>
      <c r="N34" s="60" t="s">
        <v>129</v>
      </c>
      <c r="O34" s="8"/>
      <c r="P34" s="8"/>
      <c r="Q34" s="8"/>
      <c r="R34" s="8"/>
    </row>
    <row r="35" spans="1:18">
      <c r="I35" s="5" t="s">
        <v>10</v>
      </c>
      <c r="K35" s="5" t="s">
        <v>10</v>
      </c>
    </row>
    <row r="36" spans="1:18">
      <c r="A36" s="3" t="s">
        <v>12</v>
      </c>
      <c r="B36" s="4" t="s">
        <v>55</v>
      </c>
    </row>
    <row r="38" spans="1:18">
      <c r="B38" s="5" t="s">
        <v>208</v>
      </c>
    </row>
  </sheetData>
  <sheetProtection formatCells="0" formatColumns="0" formatRows="0"/>
  <pageMargins left="0.7" right="0.7" top="0.75" bottom="0.75" header="0.3" footer="0.3"/>
  <pageSetup paperSize="17" scale="5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48"/>
  <sheetViews>
    <sheetView tabSelected="1" zoomScaleNormal="100" workbookViewId="0">
      <selection activeCell="Q9" sqref="Q9"/>
    </sheetView>
  </sheetViews>
  <sheetFormatPr defaultColWidth="9.140625" defaultRowHeight="15"/>
  <cols>
    <col min="1" max="1" width="27.7109375" style="5" customWidth="1"/>
    <col min="2" max="2" width="11.5703125" style="5" customWidth="1"/>
    <col min="3" max="3" width="9.28515625" style="5" customWidth="1"/>
    <col min="4" max="5" width="9" style="5" customWidth="1"/>
    <col min="6" max="6" width="6.42578125" style="5" customWidth="1"/>
    <col min="7" max="7" width="8" style="5" customWidth="1"/>
    <col min="8" max="8" width="19.85546875" style="5" customWidth="1"/>
    <col min="9" max="9" width="12.85546875" style="5" customWidth="1"/>
    <col min="10" max="10" width="11.7109375" style="5" customWidth="1"/>
    <col min="11" max="11" width="16.5703125" style="5" customWidth="1"/>
    <col min="12" max="12" width="17" style="5" customWidth="1"/>
    <col min="13" max="13" width="17.28515625" style="5" customWidth="1"/>
    <col min="14" max="14" width="63" style="8" hidden="1" customWidth="1"/>
    <col min="15" max="16384" width="9.140625" style="5"/>
  </cols>
  <sheetData>
    <row r="1" spans="1:14" ht="18.75">
      <c r="A1" s="10" t="s">
        <v>59</v>
      </c>
    </row>
    <row r="2" spans="1:14" ht="15.75">
      <c r="A2" s="11" t="s">
        <v>15</v>
      </c>
      <c r="C2" s="1"/>
    </row>
    <row r="3" spans="1:14">
      <c r="A3" s="5" t="s">
        <v>56</v>
      </c>
      <c r="B3" s="1"/>
    </row>
    <row r="4" spans="1:14">
      <c r="A4" s="5" t="s">
        <v>60</v>
      </c>
      <c r="C4" s="1"/>
      <c r="D4" s="1"/>
    </row>
    <row r="5" spans="1:14" ht="15.75" thickBot="1">
      <c r="C5" s="1"/>
      <c r="D5" s="1"/>
    </row>
    <row r="6" spans="1:14" ht="45.75" customHeight="1" thickBot="1">
      <c r="A6" s="23" t="s">
        <v>47</v>
      </c>
      <c r="B6" s="24" t="s">
        <v>48</v>
      </c>
      <c r="C6" s="24"/>
      <c r="D6" s="24" t="s">
        <v>31</v>
      </c>
      <c r="E6" s="24"/>
      <c r="F6" s="24" t="s">
        <v>2</v>
      </c>
      <c r="G6" s="24"/>
      <c r="H6" s="23" t="s">
        <v>50</v>
      </c>
      <c r="I6" s="23" t="s">
        <v>43</v>
      </c>
      <c r="J6" s="23" t="s">
        <v>44</v>
      </c>
      <c r="K6" s="23" t="s">
        <v>3</v>
      </c>
      <c r="L6" s="23" t="s">
        <v>53</v>
      </c>
      <c r="M6" s="23" t="s">
        <v>61</v>
      </c>
      <c r="N6" s="23" t="s">
        <v>65</v>
      </c>
    </row>
    <row r="7" spans="1:14" ht="30.75" thickBot="1">
      <c r="A7" s="26"/>
      <c r="B7" s="24" t="s">
        <v>4</v>
      </c>
      <c r="C7" s="24" t="s">
        <v>5</v>
      </c>
      <c r="D7" s="24" t="s">
        <v>6</v>
      </c>
      <c r="E7" s="24" t="s">
        <v>7</v>
      </c>
      <c r="F7" s="24" t="s">
        <v>6</v>
      </c>
      <c r="G7" s="24" t="s">
        <v>8</v>
      </c>
      <c r="H7" s="27" t="s">
        <v>51</v>
      </c>
      <c r="I7" s="27" t="s">
        <v>9</v>
      </c>
      <c r="J7" s="27" t="s">
        <v>45</v>
      </c>
      <c r="K7" s="27" t="s">
        <v>52</v>
      </c>
      <c r="L7" s="27" t="s">
        <v>52</v>
      </c>
      <c r="M7" s="27" t="s">
        <v>52</v>
      </c>
      <c r="N7" s="40"/>
    </row>
    <row r="8" spans="1:14" s="18" customFormat="1" ht="36.75" thickBot="1">
      <c r="A8" s="41" t="s">
        <v>64</v>
      </c>
      <c r="B8" s="33">
        <f>6.75-(16.69/3)</f>
        <v>1.1866666666666665</v>
      </c>
      <c r="C8" s="33"/>
      <c r="D8" s="33">
        <f>11.52-7.94</f>
        <v>3.5799999999999992</v>
      </c>
      <c r="E8" s="35">
        <v>1000</v>
      </c>
      <c r="F8" s="33"/>
      <c r="G8" s="35"/>
      <c r="H8" s="33">
        <f>(B8*3)+(D8*13)</f>
        <v>50.099999999999994</v>
      </c>
      <c r="I8" s="33">
        <v>16.690000000000001</v>
      </c>
      <c r="J8" s="33">
        <v>7.94</v>
      </c>
      <c r="K8" s="33">
        <f>7.94*13</f>
        <v>103.22</v>
      </c>
      <c r="L8" s="33">
        <f>I8+K8</f>
        <v>119.91</v>
      </c>
      <c r="M8" s="33">
        <f>H8+L8</f>
        <v>170.01</v>
      </c>
      <c r="N8" s="42" t="s">
        <v>144</v>
      </c>
    </row>
    <row r="9" spans="1:14" ht="51" customHeight="1" thickBot="1">
      <c r="A9" s="44" t="s">
        <v>194</v>
      </c>
      <c r="B9" s="28"/>
      <c r="C9" s="28"/>
      <c r="D9" s="28">
        <f>13.44-7.94</f>
        <v>5.4999999999999991</v>
      </c>
      <c r="E9" s="38">
        <v>1000</v>
      </c>
      <c r="F9" s="28"/>
      <c r="G9" s="38"/>
      <c r="H9" s="28">
        <f t="shared" ref="H9:H41" si="0">(B9*3)+(D9*13)</f>
        <v>71.499999999999986</v>
      </c>
      <c r="I9" s="28">
        <v>16.690000000000001</v>
      </c>
      <c r="J9" s="28">
        <v>7.94</v>
      </c>
      <c r="K9" s="28">
        <f t="shared" ref="K9:K35" si="1">7.94*13</f>
        <v>103.22</v>
      </c>
      <c r="L9" s="28">
        <f t="shared" ref="L9:L35" si="2">I9+K9</f>
        <v>119.91</v>
      </c>
      <c r="M9" s="28">
        <f t="shared" ref="M9:M43" si="3">H9+L9</f>
        <v>191.40999999999997</v>
      </c>
      <c r="N9" s="45" t="s">
        <v>195</v>
      </c>
    </row>
    <row r="10" spans="1:14" ht="48.75" thickBot="1">
      <c r="A10" s="43" t="s">
        <v>84</v>
      </c>
      <c r="B10" s="33">
        <f>15-5.56</f>
        <v>9.4400000000000013</v>
      </c>
      <c r="C10" s="33" t="s">
        <v>10</v>
      </c>
      <c r="D10" s="33">
        <f>9-7.94</f>
        <v>1.0599999999999996</v>
      </c>
      <c r="E10" s="35">
        <v>1000</v>
      </c>
      <c r="F10" s="33"/>
      <c r="G10" s="35"/>
      <c r="H10" s="33">
        <f t="shared" si="0"/>
        <v>42.099999999999994</v>
      </c>
      <c r="I10" s="33">
        <v>16.690000000000001</v>
      </c>
      <c r="J10" s="33">
        <v>7.94</v>
      </c>
      <c r="K10" s="33">
        <f t="shared" si="1"/>
        <v>103.22</v>
      </c>
      <c r="L10" s="33">
        <f t="shared" si="2"/>
        <v>119.91</v>
      </c>
      <c r="M10" s="33">
        <f>H10+L10</f>
        <v>162.01</v>
      </c>
      <c r="N10" s="42" t="s">
        <v>85</v>
      </c>
    </row>
    <row r="11" spans="1:14" ht="60.75" thickBot="1">
      <c r="A11" s="44" t="s">
        <v>146</v>
      </c>
      <c r="B11" s="28">
        <f>10.13-5.56</f>
        <v>4.5700000000000012</v>
      </c>
      <c r="C11" s="28"/>
      <c r="D11" s="28">
        <f>16.85-7.94</f>
        <v>8.91</v>
      </c>
      <c r="E11" s="38">
        <v>1000</v>
      </c>
      <c r="F11" s="28"/>
      <c r="G11" s="38"/>
      <c r="H11" s="28">
        <f t="shared" si="0"/>
        <v>129.54</v>
      </c>
      <c r="I11" s="28">
        <v>16.690000000000001</v>
      </c>
      <c r="J11" s="28">
        <v>7.94</v>
      </c>
      <c r="K11" s="28">
        <f t="shared" si="1"/>
        <v>103.22</v>
      </c>
      <c r="L11" s="28">
        <f t="shared" si="2"/>
        <v>119.91</v>
      </c>
      <c r="M11" s="28">
        <f t="shared" si="3"/>
        <v>249.45</v>
      </c>
      <c r="N11" s="45" t="s">
        <v>145</v>
      </c>
    </row>
    <row r="12" spans="1:14" ht="32.25" customHeight="1" thickBot="1">
      <c r="A12" s="43" t="s">
        <v>173</v>
      </c>
      <c r="B12" s="33"/>
      <c r="C12" s="33" t="s">
        <v>10</v>
      </c>
      <c r="D12" s="33">
        <v>6.23</v>
      </c>
      <c r="E12" s="35">
        <v>1000</v>
      </c>
      <c r="F12" s="33"/>
      <c r="G12" s="35"/>
      <c r="H12" s="33">
        <f t="shared" si="0"/>
        <v>80.990000000000009</v>
      </c>
      <c r="I12" s="33">
        <v>16.690000000000001</v>
      </c>
      <c r="J12" s="33">
        <v>7.94</v>
      </c>
      <c r="K12" s="33">
        <f t="shared" si="1"/>
        <v>103.22</v>
      </c>
      <c r="L12" s="33">
        <f t="shared" si="2"/>
        <v>119.91</v>
      </c>
      <c r="M12" s="33">
        <f t="shared" si="3"/>
        <v>200.9</v>
      </c>
      <c r="N12" s="42" t="s">
        <v>70</v>
      </c>
    </row>
    <row r="13" spans="1:14" ht="56.25" customHeight="1" thickBot="1">
      <c r="A13" s="44" t="s">
        <v>196</v>
      </c>
      <c r="B13" s="28"/>
      <c r="C13" s="28"/>
      <c r="D13" s="28">
        <f>14.29-7.94</f>
        <v>6.3499999999999988</v>
      </c>
      <c r="E13" s="38">
        <v>1000</v>
      </c>
      <c r="F13" s="28"/>
      <c r="G13" s="38"/>
      <c r="H13" s="28">
        <f t="shared" si="0"/>
        <v>82.549999999999983</v>
      </c>
      <c r="I13" s="28">
        <v>16.690000000000001</v>
      </c>
      <c r="J13" s="28">
        <v>7.94</v>
      </c>
      <c r="K13" s="28">
        <f t="shared" si="1"/>
        <v>103.22</v>
      </c>
      <c r="L13" s="28">
        <f t="shared" si="2"/>
        <v>119.91</v>
      </c>
      <c r="M13" s="28">
        <f t="shared" si="3"/>
        <v>202.45999999999998</v>
      </c>
      <c r="N13" s="45" t="s">
        <v>197</v>
      </c>
    </row>
    <row r="14" spans="1:14" ht="65.25" customHeight="1" thickBot="1">
      <c r="A14" s="44" t="s">
        <v>24</v>
      </c>
      <c r="B14" s="28"/>
      <c r="C14" s="28" t="s">
        <v>10</v>
      </c>
      <c r="D14" s="28">
        <v>7.28</v>
      </c>
      <c r="E14" s="38">
        <v>1000</v>
      </c>
      <c r="F14" s="28"/>
      <c r="G14" s="38"/>
      <c r="H14" s="28">
        <f t="shared" si="0"/>
        <v>94.64</v>
      </c>
      <c r="I14" s="28">
        <v>16.690000000000001</v>
      </c>
      <c r="J14" s="28">
        <v>7.94</v>
      </c>
      <c r="K14" s="28">
        <f t="shared" si="1"/>
        <v>103.22</v>
      </c>
      <c r="L14" s="28">
        <f t="shared" si="2"/>
        <v>119.91</v>
      </c>
      <c r="M14" s="28">
        <f t="shared" si="3"/>
        <v>214.55</v>
      </c>
      <c r="N14" s="45" t="s">
        <v>97</v>
      </c>
    </row>
    <row r="15" spans="1:14" ht="45.75" customHeight="1" thickBot="1">
      <c r="A15" s="44" t="s">
        <v>62</v>
      </c>
      <c r="B15" s="28">
        <f>6.2-(16.69/3)</f>
        <v>0.63666666666666671</v>
      </c>
      <c r="C15" s="24"/>
      <c r="D15" s="28">
        <f>12.65-7.94</f>
        <v>4.71</v>
      </c>
      <c r="E15" s="38">
        <v>1000</v>
      </c>
      <c r="F15" s="28"/>
      <c r="G15" s="38"/>
      <c r="H15" s="28">
        <f>(B15*3)+(D15*13)</f>
        <v>63.14</v>
      </c>
      <c r="I15" s="28">
        <v>16.690000000000001</v>
      </c>
      <c r="J15" s="28">
        <v>7.94</v>
      </c>
      <c r="K15" s="28">
        <f t="shared" si="1"/>
        <v>103.22</v>
      </c>
      <c r="L15" s="28">
        <f t="shared" si="2"/>
        <v>119.91</v>
      </c>
      <c r="M15" s="28">
        <f t="shared" si="3"/>
        <v>183.05</v>
      </c>
      <c r="N15" s="45" t="s">
        <v>69</v>
      </c>
    </row>
    <row r="16" spans="1:14" ht="48.75" thickBot="1">
      <c r="A16" s="43" t="s">
        <v>174</v>
      </c>
      <c r="B16" s="33">
        <v>2.25</v>
      </c>
      <c r="C16" s="33" t="s">
        <v>10</v>
      </c>
      <c r="D16" s="33">
        <v>8.4</v>
      </c>
      <c r="E16" s="35">
        <v>1000</v>
      </c>
      <c r="F16" s="33"/>
      <c r="G16" s="35"/>
      <c r="H16" s="33">
        <f t="shared" si="0"/>
        <v>115.95</v>
      </c>
      <c r="I16" s="33">
        <v>16.690000000000001</v>
      </c>
      <c r="J16" s="33">
        <v>7.94</v>
      </c>
      <c r="K16" s="33">
        <f t="shared" si="1"/>
        <v>103.22</v>
      </c>
      <c r="L16" s="33">
        <f t="shared" si="2"/>
        <v>119.91</v>
      </c>
      <c r="M16" s="33">
        <f t="shared" si="3"/>
        <v>235.86</v>
      </c>
      <c r="N16" s="42" t="s">
        <v>89</v>
      </c>
    </row>
    <row r="17" spans="1:14" ht="55.5" customHeight="1" thickBot="1">
      <c r="A17" s="44" t="s">
        <v>199</v>
      </c>
      <c r="B17" s="28"/>
      <c r="C17" s="28" t="s">
        <v>10</v>
      </c>
      <c r="D17" s="28">
        <f>12.44-7.94</f>
        <v>4.4999999999999991</v>
      </c>
      <c r="E17" s="38">
        <v>1000</v>
      </c>
      <c r="F17" s="28"/>
      <c r="G17" s="38"/>
      <c r="H17" s="28">
        <f t="shared" si="0"/>
        <v>58.499999999999986</v>
      </c>
      <c r="I17" s="28">
        <v>16.690000000000001</v>
      </c>
      <c r="J17" s="28">
        <v>7.94</v>
      </c>
      <c r="K17" s="28">
        <f t="shared" si="1"/>
        <v>103.22</v>
      </c>
      <c r="L17" s="28">
        <f t="shared" si="2"/>
        <v>119.91</v>
      </c>
      <c r="M17" s="28">
        <f t="shared" si="3"/>
        <v>178.40999999999997</v>
      </c>
      <c r="N17" s="45" t="s">
        <v>198</v>
      </c>
    </row>
    <row r="18" spans="1:14" ht="36.75" thickBot="1">
      <c r="A18" s="43" t="s">
        <v>175</v>
      </c>
      <c r="B18" s="33"/>
      <c r="C18" s="33" t="s">
        <v>10</v>
      </c>
      <c r="D18" s="33">
        <v>5</v>
      </c>
      <c r="E18" s="35">
        <v>1000</v>
      </c>
      <c r="F18" s="33"/>
      <c r="G18" s="35"/>
      <c r="H18" s="33">
        <f t="shared" si="0"/>
        <v>65</v>
      </c>
      <c r="I18" s="33">
        <v>16.690000000000001</v>
      </c>
      <c r="J18" s="33">
        <v>7.94</v>
      </c>
      <c r="K18" s="33">
        <f t="shared" si="1"/>
        <v>103.22</v>
      </c>
      <c r="L18" s="33">
        <f t="shared" si="2"/>
        <v>119.91</v>
      </c>
      <c r="M18" s="33">
        <f t="shared" si="3"/>
        <v>184.91</v>
      </c>
      <c r="N18" s="42" t="s">
        <v>71</v>
      </c>
    </row>
    <row r="19" spans="1:14" ht="60.75" thickBot="1">
      <c r="A19" s="43" t="s">
        <v>176</v>
      </c>
      <c r="B19" s="33">
        <v>5.48</v>
      </c>
      <c r="C19" s="33"/>
      <c r="D19" s="33">
        <f>8.62</f>
        <v>8.6199999999999992</v>
      </c>
      <c r="E19" s="35">
        <v>1000</v>
      </c>
      <c r="F19" s="33"/>
      <c r="G19" s="35"/>
      <c r="H19" s="33">
        <f t="shared" si="0"/>
        <v>128.5</v>
      </c>
      <c r="I19" s="33">
        <v>16.690000000000001</v>
      </c>
      <c r="J19" s="33">
        <v>7.94</v>
      </c>
      <c r="K19" s="33">
        <f t="shared" si="1"/>
        <v>103.22</v>
      </c>
      <c r="L19" s="33">
        <f t="shared" si="2"/>
        <v>119.91</v>
      </c>
      <c r="M19" s="33">
        <f t="shared" si="3"/>
        <v>248.41</v>
      </c>
      <c r="N19" s="42" t="s">
        <v>82</v>
      </c>
    </row>
    <row r="20" spans="1:14" ht="53.25" customHeight="1" thickBot="1">
      <c r="A20" s="65" t="s">
        <v>177</v>
      </c>
      <c r="B20" s="28">
        <f>9.27-5.56</f>
        <v>3.71</v>
      </c>
      <c r="C20" s="28" t="s">
        <v>10</v>
      </c>
      <c r="D20" s="28">
        <f>10.87-7.94</f>
        <v>2.9299999999999988</v>
      </c>
      <c r="E20" s="38">
        <v>1000</v>
      </c>
      <c r="F20" s="28"/>
      <c r="G20" s="38"/>
      <c r="H20" s="28">
        <f t="shared" si="0"/>
        <v>49.219999999999985</v>
      </c>
      <c r="I20" s="28">
        <v>16.690000000000001</v>
      </c>
      <c r="J20" s="28">
        <v>7.94</v>
      </c>
      <c r="K20" s="28">
        <f t="shared" si="1"/>
        <v>103.22</v>
      </c>
      <c r="L20" s="28">
        <f t="shared" si="2"/>
        <v>119.91</v>
      </c>
      <c r="M20" s="28">
        <f t="shared" si="3"/>
        <v>169.13</v>
      </c>
      <c r="N20" s="45" t="s">
        <v>160</v>
      </c>
    </row>
    <row r="21" spans="1:14" ht="51.75" customHeight="1" thickBot="1">
      <c r="A21" s="44" t="s">
        <v>161</v>
      </c>
      <c r="B21" s="28">
        <f>5.94-5.56</f>
        <v>0.38000000000000078</v>
      </c>
      <c r="C21" s="28"/>
      <c r="D21" s="28">
        <v>4</v>
      </c>
      <c r="E21" s="38">
        <v>1000</v>
      </c>
      <c r="F21" s="28"/>
      <c r="G21" s="38"/>
      <c r="H21" s="28">
        <f t="shared" si="0"/>
        <v>53.14</v>
      </c>
      <c r="I21" s="28">
        <v>16.690000000000001</v>
      </c>
      <c r="J21" s="28">
        <v>7.94</v>
      </c>
      <c r="K21" s="28">
        <f t="shared" si="1"/>
        <v>103.22</v>
      </c>
      <c r="L21" s="28">
        <f t="shared" si="2"/>
        <v>119.91</v>
      </c>
      <c r="M21" s="28">
        <f t="shared" si="3"/>
        <v>173.05</v>
      </c>
      <c r="N21" s="45" t="s">
        <v>207</v>
      </c>
    </row>
    <row r="22" spans="1:14" ht="42" customHeight="1" thickBot="1">
      <c r="A22" s="44" t="s">
        <v>19</v>
      </c>
      <c r="B22" s="28"/>
      <c r="C22" s="28"/>
      <c r="D22" s="28">
        <f>9.75-7.94</f>
        <v>1.8099999999999996</v>
      </c>
      <c r="E22" s="38">
        <v>1000</v>
      </c>
      <c r="F22" s="28"/>
      <c r="G22" s="38"/>
      <c r="H22" s="28">
        <f t="shared" si="0"/>
        <v>23.529999999999994</v>
      </c>
      <c r="I22" s="28">
        <v>16.690000000000001</v>
      </c>
      <c r="J22" s="28">
        <v>7.94</v>
      </c>
      <c r="K22" s="28">
        <f t="shared" si="1"/>
        <v>103.22</v>
      </c>
      <c r="L22" s="28">
        <f t="shared" si="2"/>
        <v>119.91</v>
      </c>
      <c r="M22" s="28">
        <f t="shared" si="3"/>
        <v>143.44</v>
      </c>
      <c r="N22" s="45" t="s">
        <v>140</v>
      </c>
    </row>
    <row r="23" spans="1:14" s="18" customFormat="1" ht="45" customHeight="1" thickBot="1">
      <c r="A23" s="43" t="s">
        <v>75</v>
      </c>
      <c r="B23" s="33">
        <f>24.7-5.56</f>
        <v>19.14</v>
      </c>
      <c r="C23" s="33" t="s">
        <v>10</v>
      </c>
      <c r="D23" s="33">
        <f>10.5-7.94</f>
        <v>2.5599999999999996</v>
      </c>
      <c r="E23" s="35">
        <v>1000</v>
      </c>
      <c r="F23" s="33"/>
      <c r="G23" s="35"/>
      <c r="H23" s="33">
        <f t="shared" si="0"/>
        <v>90.699999999999989</v>
      </c>
      <c r="I23" s="33">
        <v>16.690000000000001</v>
      </c>
      <c r="J23" s="33">
        <v>7.94</v>
      </c>
      <c r="K23" s="33">
        <f t="shared" si="1"/>
        <v>103.22</v>
      </c>
      <c r="L23" s="33">
        <f t="shared" si="2"/>
        <v>119.91</v>
      </c>
      <c r="M23" s="33">
        <f t="shared" si="3"/>
        <v>210.60999999999999</v>
      </c>
      <c r="N23" s="42" t="s">
        <v>74</v>
      </c>
    </row>
    <row r="24" spans="1:14" ht="63" customHeight="1" thickBot="1">
      <c r="A24" s="44" t="s">
        <v>163</v>
      </c>
      <c r="B24" s="28">
        <v>1</v>
      </c>
      <c r="C24" s="28"/>
      <c r="D24" s="28">
        <f>10.55-6.23</f>
        <v>4.32</v>
      </c>
      <c r="E24" s="38">
        <v>1000</v>
      </c>
      <c r="F24" s="28"/>
      <c r="G24" s="38"/>
      <c r="H24" s="28">
        <f t="shared" si="0"/>
        <v>59.160000000000004</v>
      </c>
      <c r="I24" s="28">
        <v>16.690000000000001</v>
      </c>
      <c r="J24" s="28">
        <v>7.94</v>
      </c>
      <c r="K24" s="28">
        <f t="shared" si="1"/>
        <v>103.22</v>
      </c>
      <c r="L24" s="28">
        <f t="shared" si="2"/>
        <v>119.91</v>
      </c>
      <c r="M24" s="28">
        <f t="shared" si="3"/>
        <v>179.07</v>
      </c>
      <c r="N24" s="45" t="s">
        <v>164</v>
      </c>
    </row>
    <row r="25" spans="1:14" ht="36.75" thickBot="1">
      <c r="A25" s="43" t="s">
        <v>178</v>
      </c>
      <c r="B25" s="33"/>
      <c r="C25" s="33" t="s">
        <v>10</v>
      </c>
      <c r="D25" s="33">
        <v>4.05</v>
      </c>
      <c r="E25" s="35">
        <v>1000</v>
      </c>
      <c r="F25" s="33"/>
      <c r="G25" s="35"/>
      <c r="H25" s="33">
        <f t="shared" si="0"/>
        <v>52.65</v>
      </c>
      <c r="I25" s="33">
        <v>16.690000000000001</v>
      </c>
      <c r="J25" s="33">
        <v>7.94</v>
      </c>
      <c r="K25" s="33">
        <f t="shared" si="1"/>
        <v>103.22</v>
      </c>
      <c r="L25" s="33">
        <f t="shared" si="2"/>
        <v>119.91</v>
      </c>
      <c r="M25" s="33">
        <f t="shared" si="3"/>
        <v>172.56</v>
      </c>
      <c r="N25" s="42" t="s">
        <v>83</v>
      </c>
    </row>
    <row r="26" spans="1:14" ht="24.75" thickBot="1">
      <c r="A26" s="44" t="s">
        <v>131</v>
      </c>
      <c r="B26" s="28"/>
      <c r="C26" s="28" t="s">
        <v>10</v>
      </c>
      <c r="D26" s="28">
        <v>7.12</v>
      </c>
      <c r="E26" s="38">
        <v>1000</v>
      </c>
      <c r="F26" s="28"/>
      <c r="G26" s="38"/>
      <c r="H26" s="28">
        <f t="shared" si="0"/>
        <v>92.56</v>
      </c>
      <c r="I26" s="28">
        <v>16.690000000000001</v>
      </c>
      <c r="J26" s="28">
        <v>7.94</v>
      </c>
      <c r="K26" s="28">
        <f t="shared" si="1"/>
        <v>103.22</v>
      </c>
      <c r="L26" s="28">
        <f t="shared" si="2"/>
        <v>119.91</v>
      </c>
      <c r="M26" s="28">
        <f t="shared" si="3"/>
        <v>212.47</v>
      </c>
      <c r="N26" s="45" t="s">
        <v>132</v>
      </c>
    </row>
    <row r="27" spans="1:14" s="18" customFormat="1" ht="36.75" thickBot="1">
      <c r="A27" s="43" t="s">
        <v>63</v>
      </c>
      <c r="B27" s="33">
        <f>16-(16.69/3)</f>
        <v>10.436666666666667</v>
      </c>
      <c r="C27" s="33"/>
      <c r="D27" s="33">
        <f>11.5-7.94</f>
        <v>3.5599999999999996</v>
      </c>
      <c r="E27" s="35">
        <v>1000</v>
      </c>
      <c r="F27" s="33"/>
      <c r="G27" s="35"/>
      <c r="H27" s="33">
        <f t="shared" si="0"/>
        <v>77.59</v>
      </c>
      <c r="I27" s="33">
        <v>16.690000000000001</v>
      </c>
      <c r="J27" s="33">
        <v>7.94</v>
      </c>
      <c r="K27" s="33">
        <f t="shared" si="1"/>
        <v>103.22</v>
      </c>
      <c r="L27" s="33">
        <f t="shared" si="2"/>
        <v>119.91</v>
      </c>
      <c r="M27" s="33">
        <f t="shared" si="3"/>
        <v>197.5</v>
      </c>
      <c r="N27" s="42" t="s">
        <v>66</v>
      </c>
    </row>
    <row r="28" spans="1:14" ht="105" customHeight="1" thickBot="1">
      <c r="A28" s="44" t="s">
        <v>162</v>
      </c>
      <c r="B28" s="28"/>
      <c r="C28" s="28"/>
      <c r="D28" s="28">
        <f>67.5-16.69-(7.94*9)</f>
        <v>-20.650000000000006</v>
      </c>
      <c r="E28" s="38">
        <v>9000</v>
      </c>
      <c r="F28" s="28">
        <f>7.5-7.94</f>
        <v>-0.44000000000000039</v>
      </c>
      <c r="G28" s="38">
        <v>9001</v>
      </c>
      <c r="H28" s="28">
        <f>(D28)+(F28*4)</f>
        <v>-22.410000000000007</v>
      </c>
      <c r="I28" s="28">
        <v>16.690000000000001</v>
      </c>
      <c r="J28" s="28">
        <v>7.94</v>
      </c>
      <c r="K28" s="28">
        <f t="shared" si="1"/>
        <v>103.22</v>
      </c>
      <c r="L28" s="28">
        <f t="shared" si="2"/>
        <v>119.91</v>
      </c>
      <c r="M28" s="28">
        <f t="shared" si="3"/>
        <v>97.499999999999986</v>
      </c>
      <c r="N28" s="45" t="s">
        <v>168</v>
      </c>
    </row>
    <row r="29" spans="1:14" ht="86.25" customHeight="1" thickBot="1">
      <c r="A29" s="44" t="s">
        <v>17</v>
      </c>
      <c r="B29" s="28"/>
      <c r="C29" s="28" t="s">
        <v>10</v>
      </c>
      <c r="D29" s="28">
        <f>(28.2-5.56-7.94)*3</f>
        <v>44.099999999999994</v>
      </c>
      <c r="E29" s="38">
        <v>1000</v>
      </c>
      <c r="F29" s="28">
        <f>13.9-7.94</f>
        <v>5.96</v>
      </c>
      <c r="G29" s="38">
        <v>1001</v>
      </c>
      <c r="H29" s="28">
        <f>(D29)+(F29*10)</f>
        <v>103.69999999999999</v>
      </c>
      <c r="I29" s="28">
        <v>16.690000000000001</v>
      </c>
      <c r="J29" s="28">
        <v>7.94</v>
      </c>
      <c r="K29" s="28">
        <f t="shared" si="1"/>
        <v>103.22</v>
      </c>
      <c r="L29" s="28">
        <f t="shared" si="2"/>
        <v>119.91</v>
      </c>
      <c r="M29" s="28">
        <f t="shared" si="3"/>
        <v>223.60999999999999</v>
      </c>
      <c r="N29" s="45" t="s">
        <v>167</v>
      </c>
    </row>
    <row r="30" spans="1:14" ht="48.75" thickBot="1">
      <c r="A30" s="44" t="s">
        <v>179</v>
      </c>
      <c r="B30" s="28"/>
      <c r="C30" s="28">
        <f>36-16.69</f>
        <v>19.309999999999999</v>
      </c>
      <c r="D30" s="28">
        <f>7.15-7.94</f>
        <v>-0.79</v>
      </c>
      <c r="E30" s="38">
        <v>1000</v>
      </c>
      <c r="F30" s="28"/>
      <c r="G30" s="38"/>
      <c r="H30" s="28">
        <f>(C30)+(D30*13)</f>
        <v>9.0399999999999991</v>
      </c>
      <c r="I30" s="28">
        <v>16.690000000000001</v>
      </c>
      <c r="J30" s="28">
        <v>7.94</v>
      </c>
      <c r="K30" s="28">
        <f t="shared" si="1"/>
        <v>103.22</v>
      </c>
      <c r="L30" s="28">
        <f t="shared" si="2"/>
        <v>119.91</v>
      </c>
      <c r="M30" s="28">
        <f t="shared" si="3"/>
        <v>128.94999999999999</v>
      </c>
      <c r="N30" s="45" t="s">
        <v>109</v>
      </c>
    </row>
    <row r="31" spans="1:14" ht="60.75" thickBot="1">
      <c r="A31" s="43" t="s">
        <v>11</v>
      </c>
      <c r="B31" s="33"/>
      <c r="C31" s="33"/>
      <c r="D31" s="33">
        <f>8.28*3</f>
        <v>24.839999999999996</v>
      </c>
      <c r="E31" s="35">
        <v>3000</v>
      </c>
      <c r="F31" s="33">
        <v>7.43</v>
      </c>
      <c r="G31" s="35">
        <v>3001</v>
      </c>
      <c r="H31" s="33">
        <f>D31+(F31*10)</f>
        <v>99.139999999999986</v>
      </c>
      <c r="I31" s="33">
        <v>16.690000000000001</v>
      </c>
      <c r="J31" s="33">
        <v>7.94</v>
      </c>
      <c r="K31" s="33">
        <f t="shared" si="1"/>
        <v>103.22</v>
      </c>
      <c r="L31" s="33">
        <f t="shared" si="2"/>
        <v>119.91</v>
      </c>
      <c r="M31" s="33">
        <f t="shared" si="3"/>
        <v>219.04999999999998</v>
      </c>
      <c r="N31" s="42" t="s">
        <v>81</v>
      </c>
    </row>
    <row r="32" spans="1:14" ht="75" customHeight="1" thickBot="1">
      <c r="A32" s="44" t="s">
        <v>185</v>
      </c>
      <c r="B32" s="28"/>
      <c r="C32" s="28">
        <f>(13.34*3)-16.69</f>
        <v>23.329999999999995</v>
      </c>
      <c r="D32" s="28">
        <f>7-7.94</f>
        <v>-0.94000000000000039</v>
      </c>
      <c r="E32" s="38">
        <v>1000</v>
      </c>
      <c r="F32" s="28"/>
      <c r="G32" s="38"/>
      <c r="H32" s="28">
        <f>C32+(D32*13)</f>
        <v>11.109999999999989</v>
      </c>
      <c r="I32" s="28">
        <v>16.690000000000001</v>
      </c>
      <c r="J32" s="28">
        <v>7.94</v>
      </c>
      <c r="K32" s="28">
        <f t="shared" si="1"/>
        <v>103.22</v>
      </c>
      <c r="L32" s="28">
        <f t="shared" si="2"/>
        <v>119.91</v>
      </c>
      <c r="M32" s="28">
        <f>H32+L32</f>
        <v>131.01999999999998</v>
      </c>
      <c r="N32" s="45" t="s">
        <v>186</v>
      </c>
    </row>
    <row r="33" spans="1:14" ht="75" customHeight="1" thickBot="1">
      <c r="A33" s="44" t="s">
        <v>99</v>
      </c>
      <c r="B33" s="28"/>
      <c r="C33" s="28">
        <f>23.73-16.69</f>
        <v>7.0399999999999991</v>
      </c>
      <c r="D33" s="28">
        <f>7.24-7.94</f>
        <v>-0.70000000000000018</v>
      </c>
      <c r="E33" s="38">
        <v>1000</v>
      </c>
      <c r="F33" s="28"/>
      <c r="G33" s="38"/>
      <c r="H33" s="28">
        <f>C33+(D33*13)</f>
        <v>-2.0600000000000023</v>
      </c>
      <c r="I33" s="28">
        <v>16.690000000000001</v>
      </c>
      <c r="J33" s="28">
        <v>7.94</v>
      </c>
      <c r="K33" s="28">
        <f t="shared" si="1"/>
        <v>103.22</v>
      </c>
      <c r="L33" s="28">
        <f t="shared" si="2"/>
        <v>119.91</v>
      </c>
      <c r="M33" s="28">
        <f t="shared" si="3"/>
        <v>117.85</v>
      </c>
      <c r="N33" s="45" t="s">
        <v>98</v>
      </c>
    </row>
    <row r="34" spans="1:14" ht="62.25" customHeight="1" thickBot="1">
      <c r="A34" s="44" t="s">
        <v>201</v>
      </c>
      <c r="B34" s="28"/>
      <c r="C34" s="28" t="s">
        <v>10</v>
      </c>
      <c r="D34" s="28">
        <f>13.94-7.94</f>
        <v>5.9999999999999991</v>
      </c>
      <c r="E34" s="38">
        <v>1000</v>
      </c>
      <c r="F34" s="28"/>
      <c r="G34" s="38"/>
      <c r="H34" s="28">
        <f t="shared" si="0"/>
        <v>77.999999999999986</v>
      </c>
      <c r="I34" s="28">
        <v>16.690000000000001</v>
      </c>
      <c r="J34" s="28">
        <v>7.94</v>
      </c>
      <c r="K34" s="28">
        <f t="shared" si="1"/>
        <v>103.22</v>
      </c>
      <c r="L34" s="28">
        <f t="shared" si="2"/>
        <v>119.91</v>
      </c>
      <c r="M34" s="28">
        <f t="shared" si="3"/>
        <v>197.90999999999997</v>
      </c>
      <c r="N34" s="45" t="s">
        <v>200</v>
      </c>
    </row>
    <row r="35" spans="1:14" ht="30" customHeight="1" thickBot="1">
      <c r="A35" s="44" t="s">
        <v>42</v>
      </c>
      <c r="B35" s="28"/>
      <c r="C35" s="28" t="s">
        <v>10</v>
      </c>
      <c r="D35" s="28">
        <v>3</v>
      </c>
      <c r="E35" s="38">
        <v>1000</v>
      </c>
      <c r="F35" s="28"/>
      <c r="G35" s="38"/>
      <c r="H35" s="28">
        <f t="shared" si="0"/>
        <v>39</v>
      </c>
      <c r="I35" s="28">
        <v>16.690000000000001</v>
      </c>
      <c r="J35" s="28">
        <v>7.94</v>
      </c>
      <c r="K35" s="28">
        <f t="shared" si="1"/>
        <v>103.22</v>
      </c>
      <c r="L35" s="28">
        <f t="shared" si="2"/>
        <v>119.91</v>
      </c>
      <c r="M35" s="28">
        <f t="shared" si="3"/>
        <v>158.91</v>
      </c>
      <c r="N35" s="45" t="s">
        <v>105</v>
      </c>
    </row>
    <row r="36" spans="1:14" ht="36.75" thickBot="1">
      <c r="A36" s="44" t="s">
        <v>16</v>
      </c>
      <c r="B36" s="28">
        <v>6.44</v>
      </c>
      <c r="C36" s="28"/>
      <c r="D36" s="28">
        <v>3.56</v>
      </c>
      <c r="E36" s="38">
        <v>1000</v>
      </c>
      <c r="F36" s="28"/>
      <c r="G36" s="38"/>
      <c r="H36" s="28">
        <f>(B36*3)+(D36*13)</f>
        <v>65.599999999999994</v>
      </c>
      <c r="I36" s="28">
        <v>16.690000000000001</v>
      </c>
      <c r="J36" s="28">
        <v>7.94</v>
      </c>
      <c r="K36" s="28">
        <f>7.94*13</f>
        <v>103.22</v>
      </c>
      <c r="L36" s="28">
        <f>I36+K36</f>
        <v>119.91</v>
      </c>
      <c r="M36" s="28">
        <f t="shared" si="3"/>
        <v>185.51</v>
      </c>
      <c r="N36" s="45" t="s">
        <v>58</v>
      </c>
    </row>
    <row r="37" spans="1:14" ht="102.75" customHeight="1" thickBot="1">
      <c r="A37" s="44" t="s">
        <v>202</v>
      </c>
      <c r="B37" s="28"/>
      <c r="C37" s="28"/>
      <c r="D37" s="28">
        <v>4.5</v>
      </c>
      <c r="E37" s="38">
        <v>1000</v>
      </c>
      <c r="F37" s="28"/>
      <c r="G37" s="38"/>
      <c r="H37" s="28">
        <f t="shared" si="0"/>
        <v>58.5</v>
      </c>
      <c r="I37" s="28">
        <v>16.690000000000001</v>
      </c>
      <c r="J37" s="28">
        <v>7.94</v>
      </c>
      <c r="K37" s="28">
        <f t="shared" ref="K37:K43" si="4">7.94*13</f>
        <v>103.22</v>
      </c>
      <c r="L37" s="28">
        <f t="shared" ref="L37:L43" si="5">I37+K37</f>
        <v>119.91</v>
      </c>
      <c r="M37" s="28">
        <f t="shared" si="3"/>
        <v>178.41</v>
      </c>
      <c r="N37" s="45" t="s">
        <v>170</v>
      </c>
    </row>
    <row r="38" spans="1:14" ht="24.75" thickBot="1">
      <c r="A38" s="44" t="s">
        <v>106</v>
      </c>
      <c r="B38" s="28"/>
      <c r="C38" s="28"/>
      <c r="D38" s="28"/>
      <c r="E38" s="38">
        <v>1000</v>
      </c>
      <c r="F38" s="28"/>
      <c r="G38" s="38"/>
      <c r="H38" s="28">
        <f t="shared" si="0"/>
        <v>0</v>
      </c>
      <c r="I38" s="28">
        <v>16.690000000000001</v>
      </c>
      <c r="J38" s="28">
        <v>7.94</v>
      </c>
      <c r="K38" s="28">
        <f t="shared" si="4"/>
        <v>103.22</v>
      </c>
      <c r="L38" s="28">
        <f t="shared" si="5"/>
        <v>119.91</v>
      </c>
      <c r="M38" s="28">
        <f t="shared" si="3"/>
        <v>119.91</v>
      </c>
      <c r="N38" s="45" t="s">
        <v>107</v>
      </c>
    </row>
    <row r="39" spans="1:14" ht="38.25" customHeight="1" thickBot="1">
      <c r="A39" s="44" t="s">
        <v>18</v>
      </c>
      <c r="B39" s="28">
        <v>5.56</v>
      </c>
      <c r="C39" s="28" t="s">
        <v>10</v>
      </c>
      <c r="D39" s="28">
        <v>7.94</v>
      </c>
      <c r="E39" s="38">
        <v>1000</v>
      </c>
      <c r="F39" s="28"/>
      <c r="G39" s="38"/>
      <c r="H39" s="28">
        <f t="shared" si="0"/>
        <v>119.9</v>
      </c>
      <c r="I39" s="28">
        <v>16.690000000000001</v>
      </c>
      <c r="J39" s="28">
        <v>7.94</v>
      </c>
      <c r="K39" s="28">
        <f t="shared" si="4"/>
        <v>103.22</v>
      </c>
      <c r="L39" s="28">
        <f t="shared" si="5"/>
        <v>119.91</v>
      </c>
      <c r="M39" s="28">
        <f t="shared" si="3"/>
        <v>239.81</v>
      </c>
      <c r="N39" s="45" t="s">
        <v>100</v>
      </c>
    </row>
    <row r="40" spans="1:14" ht="54.75" customHeight="1" thickBot="1">
      <c r="A40" s="44" t="s">
        <v>203</v>
      </c>
      <c r="B40" s="28">
        <f>6.84-5.56</f>
        <v>1.2800000000000002</v>
      </c>
      <c r="C40" s="28"/>
      <c r="D40" s="28">
        <f>12.49-7.94</f>
        <v>4.55</v>
      </c>
      <c r="E40" s="38">
        <v>1000</v>
      </c>
      <c r="F40" s="28"/>
      <c r="G40" s="38"/>
      <c r="H40" s="28">
        <f t="shared" si="0"/>
        <v>62.99</v>
      </c>
      <c r="I40" s="28">
        <v>16.690000000000001</v>
      </c>
      <c r="J40" s="28">
        <v>7.94</v>
      </c>
      <c r="K40" s="28">
        <f t="shared" si="4"/>
        <v>103.22</v>
      </c>
      <c r="L40" s="28">
        <f t="shared" si="5"/>
        <v>119.91</v>
      </c>
      <c r="M40" s="28">
        <f t="shared" si="3"/>
        <v>182.9</v>
      </c>
      <c r="N40" s="45" t="s">
        <v>204</v>
      </c>
    </row>
    <row r="41" spans="1:14" ht="36.75" thickBot="1">
      <c r="A41" s="43" t="s">
        <v>68</v>
      </c>
      <c r="B41" s="33">
        <f>17-5.56</f>
        <v>11.440000000000001</v>
      </c>
      <c r="C41" s="33"/>
      <c r="D41" s="33">
        <f>8.58-7.94</f>
        <v>0.63999999999999968</v>
      </c>
      <c r="E41" s="35">
        <v>1000</v>
      </c>
      <c r="F41" s="33"/>
      <c r="G41" s="35"/>
      <c r="H41" s="33">
        <f t="shared" si="0"/>
        <v>42.64</v>
      </c>
      <c r="I41" s="33">
        <v>16.690000000000001</v>
      </c>
      <c r="J41" s="33">
        <v>7.94</v>
      </c>
      <c r="K41" s="33">
        <f t="shared" si="4"/>
        <v>103.22</v>
      </c>
      <c r="L41" s="33">
        <f t="shared" si="5"/>
        <v>119.91</v>
      </c>
      <c r="M41" s="33">
        <f t="shared" si="3"/>
        <v>162.55000000000001</v>
      </c>
      <c r="N41" s="42" t="s">
        <v>67</v>
      </c>
    </row>
    <row r="42" spans="1:14" ht="92.25" customHeight="1" thickBot="1">
      <c r="A42" s="43" t="s">
        <v>180</v>
      </c>
      <c r="B42" s="33"/>
      <c r="C42" s="33"/>
      <c r="D42" s="33">
        <v>11.89</v>
      </c>
      <c r="E42" s="35">
        <v>4500</v>
      </c>
      <c r="F42" s="33">
        <v>2.5</v>
      </c>
      <c r="G42" s="35">
        <v>4501</v>
      </c>
      <c r="H42" s="33">
        <f>D42*3</f>
        <v>35.67</v>
      </c>
      <c r="I42" s="33">
        <v>16.690000000000001</v>
      </c>
      <c r="J42" s="33">
        <v>7.94</v>
      </c>
      <c r="K42" s="33">
        <f t="shared" si="4"/>
        <v>103.22</v>
      </c>
      <c r="L42" s="33">
        <f t="shared" si="5"/>
        <v>119.91</v>
      </c>
      <c r="M42" s="33">
        <f t="shared" si="3"/>
        <v>155.57999999999998</v>
      </c>
      <c r="N42" s="42" t="s">
        <v>80</v>
      </c>
    </row>
    <row r="43" spans="1:14" ht="74.25" customHeight="1" thickBot="1">
      <c r="A43" s="44" t="s">
        <v>21</v>
      </c>
      <c r="B43" s="28"/>
      <c r="C43" s="28"/>
      <c r="D43" s="28">
        <v>6</v>
      </c>
      <c r="E43" s="38">
        <v>600</v>
      </c>
      <c r="F43" s="28">
        <f>12.54-7.94</f>
        <v>4.5999999999999988</v>
      </c>
      <c r="G43" s="38">
        <v>601</v>
      </c>
      <c r="H43" s="28">
        <f>D43+(F43*12.4)</f>
        <v>63.039999999999985</v>
      </c>
      <c r="I43" s="28">
        <v>16.690000000000001</v>
      </c>
      <c r="J43" s="28">
        <v>7.94</v>
      </c>
      <c r="K43" s="28">
        <f t="shared" si="4"/>
        <v>103.22</v>
      </c>
      <c r="L43" s="28">
        <f t="shared" si="5"/>
        <v>119.91</v>
      </c>
      <c r="M43" s="28">
        <f t="shared" si="3"/>
        <v>182.95</v>
      </c>
      <c r="N43" s="45" t="s">
        <v>206</v>
      </c>
    </row>
    <row r="44" spans="1:14">
      <c r="A44" s="7"/>
      <c r="B44" s="15"/>
      <c r="C44" s="15"/>
      <c r="D44" s="15"/>
      <c r="E44" s="16"/>
      <c r="F44" s="16"/>
      <c r="G44" s="17"/>
      <c r="H44" s="15"/>
      <c r="I44" s="15"/>
      <c r="J44" s="15"/>
      <c r="K44" s="15"/>
      <c r="L44" s="15"/>
      <c r="M44" s="15"/>
      <c r="N44" s="2"/>
    </row>
    <row r="45" spans="1:14">
      <c r="A45" s="13" t="s">
        <v>12</v>
      </c>
      <c r="B45" s="5" t="s">
        <v>55</v>
      </c>
      <c r="N45" s="2"/>
    </row>
    <row r="47" spans="1:14">
      <c r="B47" s="5" t="s">
        <v>209</v>
      </c>
      <c r="L47" s="5" t="s">
        <v>10</v>
      </c>
      <c r="M47" s="14" t="s">
        <v>10</v>
      </c>
    </row>
    <row r="48" spans="1:14" ht="17.25">
      <c r="B48" s="9"/>
      <c r="M48" s="14"/>
    </row>
  </sheetData>
  <sheetProtection formatCells="0" formatColumns="0" formatRows="0"/>
  <pageMargins left="0.7" right="0.7" top="0.75" bottom="0.75" header="0.3" footer="0.3"/>
  <pageSetup paperSize="17"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ALCOSAN Eastern Basin</vt:lpstr>
      <vt:lpstr>ALCOSAN Northern Basin</vt:lpstr>
      <vt:lpstr>ALCOSAN Southern Basin</vt:lpstr>
      <vt:lpstr>'ALCOSAN Eastern Basin'!Print_Area</vt:lpstr>
      <vt:lpstr>'ALCOSAN Northern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tschubert</cp:lastModifiedBy>
  <cp:lastPrinted>2019-04-23T17:46:03Z</cp:lastPrinted>
  <dcterms:created xsi:type="dcterms:W3CDTF">2010-10-20T16:43:27Z</dcterms:created>
  <dcterms:modified xsi:type="dcterms:W3CDTF">2019-04-23T17:48:11Z</dcterms:modified>
</cp:coreProperties>
</file>