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X:\Municipal Support\Sewer Rate Surveys\2020 Sewer Rate Update\"/>
    </mc:Choice>
  </mc:AlternateContent>
  <xr:revisionPtr revIDLastSave="0" documentId="13_ncr:1_{BFBBC779-E873-401F-BC9C-79944563E1E8}" xr6:coauthVersionLast="45" xr6:coauthVersionMax="45" xr10:uidLastSave="{00000000-0000-0000-0000-000000000000}"/>
  <bookViews>
    <workbookView xWindow="1680" yWindow="135" windowWidth="26895" windowHeight="15300" xr2:uid="{00000000-000D-0000-FFFF-FFFF00000000}"/>
  </bookViews>
  <sheets>
    <sheet name="ALCOSAN Eastern Basin" sheetId="1" r:id="rId1"/>
    <sheet name="ALCOSAN Southern Basin" sheetId="3" r:id="rId2"/>
    <sheet name="ALCOSAN Northern Basin" sheetId="2" r:id="rId3"/>
  </sheets>
  <definedNames>
    <definedName name="_xlnm.Print_Area" localSheetId="0">'ALCOSAN Eastern Basin'!$A$1:$H$33</definedName>
    <definedName name="_xlnm.Print_Area" localSheetId="2">'ALCOSAN Northern Basin'!$A$1:$H$34</definedName>
    <definedName name="_xlnm.Print_Area" localSheetId="1">'ALCOSAN Southern Basin'!$A$1:$H$43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2" l="1"/>
  <c r="F13" i="2"/>
  <c r="D29" i="3"/>
  <c r="H29" i="3"/>
  <c r="H12" i="3"/>
  <c r="F29" i="3" l="1"/>
  <c r="H27" i="3"/>
  <c r="D27" i="3"/>
  <c r="B27" i="3"/>
  <c r="H33" i="3" l="1"/>
  <c r="D33" i="3"/>
  <c r="C33" i="3"/>
  <c r="H10" i="2"/>
  <c r="H20" i="3" l="1"/>
  <c r="D20" i="3"/>
  <c r="B20" i="3"/>
  <c r="F19" i="1" l="1"/>
  <c r="H19" i="1" s="1"/>
  <c r="D19" i="1"/>
  <c r="D18" i="1"/>
  <c r="H8" i="1"/>
  <c r="D14" i="2" l="1"/>
  <c r="C14" i="2"/>
  <c r="H21" i="3"/>
  <c r="F23" i="2"/>
  <c r="H34" i="3"/>
  <c r="H40" i="3"/>
  <c r="D40" i="3"/>
  <c r="B40" i="3"/>
  <c r="D34" i="3"/>
  <c r="H24" i="3"/>
  <c r="B23" i="2"/>
  <c r="H21" i="2"/>
  <c r="D21" i="2"/>
  <c r="C21" i="2"/>
  <c r="H22" i="3"/>
  <c r="F22" i="3"/>
  <c r="D22" i="3"/>
  <c r="H17" i="3"/>
  <c r="D17" i="3"/>
  <c r="H13" i="3"/>
  <c r="D13" i="3"/>
  <c r="D11" i="2"/>
  <c r="C11" i="2"/>
  <c r="H9" i="3"/>
  <c r="D9" i="3"/>
  <c r="H14" i="2" l="1"/>
  <c r="H34" i="2"/>
  <c r="H39" i="3"/>
  <c r="H37" i="3"/>
  <c r="H36" i="3"/>
  <c r="H35" i="3"/>
  <c r="H18" i="3"/>
  <c r="H32" i="3" l="1"/>
  <c r="D32" i="3"/>
  <c r="B32" i="3"/>
  <c r="H26" i="3"/>
  <c r="H25" i="3"/>
  <c r="H23" i="3"/>
  <c r="D23" i="3"/>
  <c r="B23" i="3"/>
  <c r="H16" i="3" l="1"/>
  <c r="D11" i="3"/>
  <c r="B11" i="3"/>
  <c r="D43" i="3" l="1"/>
  <c r="H43" i="3"/>
  <c r="H41" i="3"/>
  <c r="D41" i="3"/>
  <c r="B41" i="3"/>
  <c r="D28" i="3" l="1"/>
  <c r="B28" i="3"/>
  <c r="H28" i="3"/>
  <c r="F28" i="3"/>
  <c r="H30" i="3"/>
  <c r="D30" i="3"/>
  <c r="C30" i="3"/>
  <c r="H19" i="3"/>
  <c r="H15" i="3"/>
  <c r="D15" i="3"/>
  <c r="B15" i="3"/>
  <c r="H14" i="3"/>
  <c r="H11" i="3"/>
  <c r="D12" i="3"/>
  <c r="H8" i="3"/>
  <c r="H10" i="3"/>
  <c r="D10" i="3"/>
  <c r="B10" i="3"/>
  <c r="D8" i="3"/>
  <c r="B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8" i="3"/>
  <c r="D33" i="2"/>
  <c r="F33" i="2"/>
  <c r="H33" i="2" l="1"/>
  <c r="D24" i="2"/>
  <c r="C24" i="2"/>
  <c r="D29" i="2"/>
  <c r="H29" i="2" s="1"/>
  <c r="D28" i="2"/>
  <c r="H28" i="2" s="1"/>
  <c r="H30" i="2"/>
  <c r="H24" i="2" l="1"/>
  <c r="C20" i="1"/>
  <c r="L31" i="3"/>
  <c r="D31" i="3"/>
  <c r="H31" i="3" s="1"/>
  <c r="K23" i="1"/>
  <c r="L23" i="1" s="1"/>
  <c r="D23" i="1"/>
  <c r="H23" i="1" s="1"/>
  <c r="D32" i="2"/>
  <c r="H32" i="2"/>
  <c r="D26" i="2"/>
  <c r="C26" i="2"/>
  <c r="H26" i="2" s="1"/>
  <c r="D15" i="2"/>
  <c r="H15" i="2" s="1"/>
  <c r="B15" i="2"/>
  <c r="D17" i="2"/>
  <c r="D22" i="2"/>
  <c r="H22" i="2" s="1"/>
  <c r="C17" i="2"/>
  <c r="H17" i="2" s="1"/>
  <c r="C22" i="2"/>
  <c r="H19" i="2"/>
  <c r="H18" i="2"/>
  <c r="H20" i="2"/>
  <c r="H25" i="2"/>
  <c r="H16" i="2"/>
  <c r="F12" i="1"/>
  <c r="D12" i="1"/>
  <c r="D13" i="2"/>
  <c r="M31" i="3" l="1"/>
  <c r="M23" i="1"/>
  <c r="H11" i="2"/>
  <c r="H9" i="2"/>
  <c r="K9" i="2"/>
  <c r="K10" i="2"/>
  <c r="K12" i="2"/>
  <c r="K11" i="2"/>
  <c r="K13" i="2"/>
  <c r="K14" i="2"/>
  <c r="K15" i="2"/>
  <c r="K16" i="2"/>
  <c r="K17" i="2"/>
  <c r="K20" i="2"/>
  <c r="K18" i="2"/>
  <c r="K19" i="2"/>
  <c r="K21" i="2"/>
  <c r="K22" i="2"/>
  <c r="K23" i="2"/>
  <c r="K24" i="2"/>
  <c r="K25" i="2"/>
  <c r="K26" i="2"/>
  <c r="K27" i="2"/>
  <c r="K28" i="2"/>
  <c r="K29" i="2"/>
  <c r="K30" i="2"/>
  <c r="K31" i="2"/>
  <c r="K32" i="2"/>
  <c r="K33" i="2"/>
  <c r="K34" i="2"/>
  <c r="K8" i="2"/>
  <c r="H8" i="2"/>
  <c r="D30" i="1"/>
  <c r="H30" i="1"/>
  <c r="H29" i="1"/>
  <c r="D29" i="1"/>
  <c r="C29" i="1"/>
  <c r="H27" i="1"/>
  <c r="D27" i="1"/>
  <c r="H24" i="1"/>
  <c r="H21" i="1" l="1"/>
  <c r="F21" i="1"/>
  <c r="D21" i="1"/>
  <c r="H16" i="1" l="1"/>
  <c r="D16" i="1"/>
  <c r="H15" i="1"/>
  <c r="H12" i="1"/>
  <c r="D8" i="1"/>
  <c r="C8" i="1"/>
  <c r="H33" i="1" l="1"/>
  <c r="H32" i="1"/>
  <c r="H31" i="1"/>
  <c r="H28" i="1"/>
  <c r="H26" i="1"/>
  <c r="H25" i="1"/>
  <c r="D25" i="1"/>
  <c r="C25" i="1"/>
  <c r="H22" i="1"/>
  <c r="H17" i="1"/>
  <c r="H14" i="1"/>
  <c r="H13" i="1"/>
  <c r="D13" i="1"/>
  <c r="C13" i="1"/>
  <c r="H11" i="1"/>
  <c r="H10" i="1"/>
  <c r="H9" i="1"/>
  <c r="H20" i="1"/>
  <c r="D20" i="1"/>
  <c r="K9" i="1" l="1"/>
  <c r="K10" i="1"/>
  <c r="K11" i="1"/>
  <c r="K12" i="1"/>
  <c r="K13" i="1"/>
  <c r="K14" i="1"/>
  <c r="K15" i="1"/>
  <c r="K16" i="1"/>
  <c r="K17" i="1"/>
  <c r="K18" i="1"/>
  <c r="K19" i="1"/>
  <c r="K20" i="1"/>
  <c r="K21" i="1"/>
  <c r="K22" i="1"/>
  <c r="K24" i="1"/>
  <c r="K25" i="1"/>
  <c r="K26" i="1"/>
  <c r="K27" i="1"/>
  <c r="K28" i="1"/>
  <c r="K29" i="1"/>
  <c r="K30" i="1"/>
  <c r="K31" i="1"/>
  <c r="K32" i="1"/>
  <c r="K33" i="1"/>
  <c r="K8" i="1"/>
  <c r="H23" i="2" l="1"/>
  <c r="C13" i="2" l="1"/>
  <c r="C31" i="2" l="1"/>
  <c r="H31" i="2" s="1"/>
  <c r="L27" i="2" l="1"/>
  <c r="D27" i="2"/>
  <c r="H27" i="2" s="1"/>
  <c r="M27" i="2" l="1"/>
  <c r="H42" i="3"/>
  <c r="L22" i="2" l="1"/>
  <c r="L23" i="2"/>
  <c r="L24" i="2"/>
  <c r="L25" i="2"/>
  <c r="L26" i="2"/>
  <c r="L28" i="2"/>
  <c r="L29" i="2"/>
  <c r="L30" i="2"/>
  <c r="L31" i="2"/>
  <c r="L32" i="2"/>
  <c r="L33" i="2"/>
  <c r="L34" i="2"/>
  <c r="L9" i="2"/>
  <c r="L10" i="2"/>
  <c r="L12" i="2"/>
  <c r="L11" i="2"/>
  <c r="L13" i="2"/>
  <c r="L14" i="2"/>
  <c r="L15" i="2"/>
  <c r="L16" i="2"/>
  <c r="L17" i="2"/>
  <c r="L20" i="2"/>
  <c r="L18" i="2"/>
  <c r="L19" i="2"/>
  <c r="L21" i="2"/>
  <c r="L8" i="2"/>
  <c r="L10" i="1"/>
  <c r="L11" i="1"/>
  <c r="L12" i="1"/>
  <c r="L13" i="1"/>
  <c r="L14" i="1"/>
  <c r="L15" i="1"/>
  <c r="L16" i="1"/>
  <c r="L17" i="1"/>
  <c r="L18" i="1"/>
  <c r="L19" i="1"/>
  <c r="L20" i="1"/>
  <c r="L21" i="1"/>
  <c r="L22" i="1"/>
  <c r="L24" i="1"/>
  <c r="M24" i="1" s="1"/>
  <c r="L26" i="1"/>
  <c r="L27" i="1"/>
  <c r="L28" i="1"/>
  <c r="L29" i="1"/>
  <c r="L30" i="1"/>
  <c r="L31" i="1"/>
  <c r="L32" i="1"/>
  <c r="L9" i="1"/>
  <c r="L25" i="1"/>
  <c r="L33" i="1"/>
  <c r="L8" i="1"/>
  <c r="L9" i="3"/>
  <c r="L10" i="3"/>
  <c r="L11" i="3"/>
  <c r="L12" i="3"/>
  <c r="L13" i="3"/>
  <c r="L14" i="3"/>
  <c r="L15" i="3"/>
  <c r="L16" i="3"/>
  <c r="L17" i="3"/>
  <c r="L18" i="3"/>
  <c r="L19" i="3"/>
  <c r="L20" i="3"/>
  <c r="L21" i="3"/>
  <c r="L22" i="3"/>
  <c r="L23" i="3"/>
  <c r="L24" i="3"/>
  <c r="L25" i="3"/>
  <c r="L26" i="3"/>
  <c r="L27" i="3"/>
  <c r="L28" i="3"/>
  <c r="L29" i="3"/>
  <c r="L30" i="3"/>
  <c r="L32" i="3"/>
  <c r="L33" i="3"/>
  <c r="L34" i="3"/>
  <c r="L35" i="3"/>
  <c r="L8" i="3"/>
  <c r="L37" i="3"/>
  <c r="L38" i="3"/>
  <c r="L39" i="3"/>
  <c r="L40" i="3"/>
  <c r="L41" i="3"/>
  <c r="L42" i="3"/>
  <c r="L43" i="3"/>
  <c r="D19" i="3" l="1"/>
  <c r="H18" i="1" l="1"/>
  <c r="M14" i="1" l="1"/>
  <c r="H12" i="2"/>
  <c r="H38" i="3"/>
  <c r="M32" i="3" l="1"/>
  <c r="L36" i="3" l="1"/>
  <c r="M29" i="3"/>
  <c r="M33" i="2"/>
  <c r="M31" i="2"/>
  <c r="M30" i="2"/>
  <c r="M29" i="2"/>
  <c r="M28" i="2"/>
  <c r="M26" i="2"/>
  <c r="M23" i="2"/>
  <c r="M20" i="2"/>
  <c r="M16" i="2"/>
  <c r="M15" i="2"/>
  <c r="M14" i="2"/>
  <c r="M13" i="2"/>
  <c r="M10" i="2"/>
  <c r="M27" i="1"/>
  <c r="M25" i="1"/>
  <c r="M20" i="1"/>
  <c r="M19" i="1"/>
  <c r="M16" i="1"/>
  <c r="M15" i="1"/>
  <c r="M13" i="1"/>
  <c r="M12" i="1"/>
  <c r="M17" i="2" l="1"/>
  <c r="M10" i="3"/>
  <c r="M22" i="2"/>
  <c r="M18" i="2"/>
  <c r="M19" i="2"/>
  <c r="M21" i="2"/>
  <c r="M24" i="2"/>
  <c r="M25" i="2"/>
  <c r="M34" i="2"/>
  <c r="M9" i="2"/>
  <c r="M12" i="2"/>
  <c r="M11" i="2"/>
  <c r="M8" i="2"/>
  <c r="M21" i="1"/>
  <c r="M22" i="1"/>
  <c r="M18" i="1"/>
  <c r="M9" i="1"/>
  <c r="M10" i="1"/>
  <c r="M11" i="1"/>
  <c r="M17" i="1"/>
  <c r="M26" i="1"/>
  <c r="M28" i="1"/>
  <c r="M29" i="1"/>
  <c r="M30" i="1"/>
  <c r="M31" i="1"/>
  <c r="M32" i="1"/>
  <c r="M33" i="1"/>
  <c r="M8" i="1"/>
  <c r="M16" i="3"/>
  <c r="M17" i="3"/>
  <c r="M18" i="3"/>
  <c r="M19" i="3"/>
  <c r="M20" i="3"/>
  <c r="M21" i="3"/>
  <c r="M22" i="3"/>
  <c r="M23" i="3"/>
  <c r="M24" i="3"/>
  <c r="M25" i="3"/>
  <c r="M26" i="3"/>
  <c r="M27" i="3"/>
  <c r="M28" i="3"/>
  <c r="M30" i="3"/>
  <c r="M33" i="3"/>
  <c r="M34" i="3"/>
  <c r="M35" i="3"/>
  <c r="M36" i="3"/>
  <c r="M37" i="3"/>
  <c r="M38" i="3"/>
  <c r="M39" i="3"/>
  <c r="M40" i="3"/>
  <c r="M41" i="3"/>
  <c r="M42" i="3"/>
  <c r="M43" i="3"/>
  <c r="M8" i="3"/>
  <c r="M9" i="3"/>
  <c r="M11" i="3"/>
  <c r="M12" i="3"/>
  <c r="M13" i="3"/>
  <c r="M14" i="3"/>
  <c r="M15" i="3"/>
  <c r="M32" i="2"/>
</calcChain>
</file>

<file path=xl/sharedStrings.xml><?xml version="1.0" encoding="utf-8"?>
<sst xmlns="http://schemas.openxmlformats.org/spreadsheetml/2006/main" count="297" uniqueCount="213">
  <si>
    <t>Eastern Basin</t>
  </si>
  <si>
    <t xml:space="preserve">    Service Charge</t>
  </si>
  <si>
    <t>Tier 1*</t>
  </si>
  <si>
    <t>ALCOSAN Charge</t>
  </si>
  <si>
    <t>Monthly</t>
  </si>
  <si>
    <t>Quarterly</t>
  </si>
  <si>
    <t>Rate</t>
  </si>
  <si>
    <t>Gallons</t>
  </si>
  <si>
    <t>from</t>
  </si>
  <si>
    <t>Service Fee</t>
  </si>
  <si>
    <t xml:space="preserve"> </t>
  </si>
  <si>
    <t>Pittsburgh</t>
  </si>
  <si>
    <t>NOTES:</t>
  </si>
  <si>
    <t>Northern Basin</t>
  </si>
  <si>
    <t>Sharpsburg</t>
  </si>
  <si>
    <t>Southern Basin</t>
  </si>
  <si>
    <t>South Fayette</t>
  </si>
  <si>
    <t>Oakdale</t>
  </si>
  <si>
    <t>Upper St. Clair</t>
  </si>
  <si>
    <t>Kennedy</t>
  </si>
  <si>
    <t>Wall</t>
  </si>
  <si>
    <t>Whitehall</t>
  </si>
  <si>
    <t xml:space="preserve">Etna </t>
  </si>
  <si>
    <t>Castle Shannon</t>
  </si>
  <si>
    <t>Verona</t>
  </si>
  <si>
    <t xml:space="preserve">Reserve </t>
  </si>
  <si>
    <t>Reserve - Girtys Run Cust.</t>
  </si>
  <si>
    <t xml:space="preserve">McCandless </t>
  </si>
  <si>
    <t>Base</t>
  </si>
  <si>
    <t>Braddock</t>
  </si>
  <si>
    <t>East Pittsburgh</t>
  </si>
  <si>
    <t>Penn Hills</t>
  </si>
  <si>
    <t>Rankin</t>
  </si>
  <si>
    <t>** For Plum Borough, rates are based on cubic feet…..these values converted to gallons for this comparison.</t>
  </si>
  <si>
    <t>Wilkinsburg</t>
  </si>
  <si>
    <t xml:space="preserve">Blawnox </t>
  </si>
  <si>
    <t xml:space="preserve">Quarterly ALCOSAN </t>
  </si>
  <si>
    <t>ALCOSAN Base Rate</t>
  </si>
  <si>
    <t>Per 1,000 gallons</t>
  </si>
  <si>
    <t>Municipality/ Authority</t>
  </si>
  <si>
    <t>Municipality/ 
Authority</t>
  </si>
  <si>
    <t xml:space="preserve">        Service Charge</t>
  </si>
  <si>
    <t>Total Charge</t>
  </si>
  <si>
    <t>Total municipal Charge/Quarter</t>
  </si>
  <si>
    <t>Total ALCOSAN Charge/Quarter</t>
  </si>
  <si>
    <t>(Municipal + ALCOSAN)</t>
  </si>
  <si>
    <t xml:space="preserve">* Tiered rates are $/1,000 gallons starting at the gallon level listed. Ex: If the tier says $1.18 at 3,001, that means the rate is $1.18 for every 1,000 gallons over 3,000. </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</si>
  <si>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</si>
  <si>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</si>
  <si>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 xml:space="preserve">Total Quarterly Charge (Municipal + ALCOSAN)
</t>
  </si>
  <si>
    <t>Collier^</t>
  </si>
  <si>
    <t>Notes</t>
  </si>
  <si>
    <t>Franklin Park</t>
  </si>
  <si>
    <t>Bethel Park^</t>
  </si>
  <si>
    <t xml:space="preserve">Ross^ </t>
  </si>
  <si>
    <t>Shaler^</t>
  </si>
  <si>
    <t>North Huntingdon^</t>
  </si>
  <si>
    <t>Churchill^</t>
  </si>
  <si>
    <t xml:space="preserve">Swissvale^ </t>
  </si>
  <si>
    <t>Chalfant^</t>
  </si>
  <si>
    <t>Edgewood^</t>
  </si>
  <si>
    <t>Wilkins^</t>
  </si>
  <si>
    <t>North Braddock^</t>
  </si>
  <si>
    <t>Pitcairn^</t>
  </si>
  <si>
    <t>Braddock Hills^</t>
  </si>
  <si>
    <t>Forest Hills^</t>
  </si>
  <si>
    <t>Turtle Creek^</t>
  </si>
  <si>
    <t>Wilmerding^</t>
  </si>
  <si>
    <t>West View^</t>
  </si>
  <si>
    <t>Mt. Oliver^</t>
  </si>
  <si>
    <t>Monroeville^</t>
  </si>
  <si>
    <t>Trafford^</t>
  </si>
  <si>
    <t>Bellevue^</t>
  </si>
  <si>
    <t>Fox Chapel^</t>
  </si>
  <si>
    <t>Brentwood^</t>
  </si>
  <si>
    <t xml:space="preserve">Emsworth^ </t>
  </si>
  <si>
    <t>Ingram^</t>
  </si>
  <si>
    <t>McKees Rocks^</t>
  </si>
  <si>
    <t xml:space="preserve">Neville^ </t>
  </si>
  <si>
    <t>Bridgeville^</t>
  </si>
  <si>
    <t>Crafton^</t>
  </si>
  <si>
    <t>Green Tree^</t>
  </si>
  <si>
    <t>Heidelberg^</t>
  </si>
  <si>
    <t>Mt. Lebanon^</t>
  </si>
  <si>
    <t>Whitaker^</t>
  </si>
  <si>
    <t>Penn Township^</t>
  </si>
  <si>
    <t>Avalon^</t>
  </si>
  <si>
    <t>Ben Avon^</t>
  </si>
  <si>
    <t>Pleasant Hills^</t>
  </si>
  <si>
    <t>Kilbuck^</t>
  </si>
  <si>
    <t>Dormont^</t>
  </si>
  <si>
    <t>Rosslyn Farms ^</t>
  </si>
  <si>
    <t>Stowe^</t>
  </si>
  <si>
    <t>West Homestead^</t>
  </si>
  <si>
    <r>
      <t xml:space="preserve">^No increase in </t>
    </r>
    <r>
      <rPr>
        <b/>
        <sz val="11"/>
        <rFont val="Calibri"/>
        <family val="2"/>
        <scheme val="minor"/>
      </rPr>
      <t xml:space="preserve">municipal </t>
    </r>
    <r>
      <rPr>
        <sz val="11"/>
        <rFont val="Calibri"/>
        <family val="2"/>
        <scheme val="minor"/>
      </rPr>
      <t>portion of the sewage bill from 2018</t>
    </r>
  </si>
  <si>
    <t>^No increase in municipal portion of the sewage bill from 2018</t>
  </si>
  <si>
    <t>Communities that use WPJWA for sewer billing incur a charge of $1.50 for each monthly customer bill, but that fee is not included on the customer bill as a sewage charge so it is not included in those communities' rates for this survey.</t>
  </si>
  <si>
    <t>2020 Residential Rate Comparison</t>
  </si>
  <si>
    <t>Total Municipal Charges below are based on 12,000 GALLONS/QUARTER before ALCOSAN fees.</t>
  </si>
  <si>
    <t>Based on 12,000 Gallons</t>
  </si>
  <si>
    <t>^No increase in municipal portion of the sewage bill from 2019</t>
  </si>
  <si>
    <t>3/24/20: WPJWA still does the billing.  Checked their rate sheet online and it says the same rate as 2019.  Only ALCOSAN's rate increased. 
3/7/19: Phone call with Cheryl Sorrentino Borough Secretary.  ALCOSAN rates are listed separately on the bill.  The overall total bill only increased by ALCOSAN's increase. (Billing done by WPJWA)</t>
  </si>
  <si>
    <t>3/24/20: WPJWA still does the billing.  Checked their rate sheet online and it says the same rate as 2019.  Only ALCOSAN's rate increased. 
2019: Per survey from Stephanie Schwoegel (Feb. 2019), the municipal sewer rates of $4.50/1,000 gal did not increase.  The overall total bill only increased by ALCOSAN's increase of $7.85.  (Billing done by WPJWA)</t>
  </si>
  <si>
    <t>3/24/20: WPJWA still does the billing.  Checked their rate sheet online and it says the same rate as 2019.  Only ALCOSAN's rate increased. 
2019: Survey completed by Mary Kay Fiore (March 2019). Churchill only charges a usage rate of $6.00/1,000 gallons plus ALCOSAN fees.  No increase for 2019.  Bill monthly.</t>
  </si>
  <si>
    <t xml:space="preserve">3/24/20: WPJWA still does the billing.  Checked their rate sheet online and it says the same rate as 2019 - 50% of ALCOSAN's bill.  ALCOSAN's rate increased so East Pittsburgh's municipal portion increased as well. 
2019: Billed by WPJWA.  Called WPJWA to confirm the rates. (April 2019) East Pittsburgh local rates are 50% of ALCOSAN charges. </t>
  </si>
  <si>
    <t>3/24/20: WPJWA still does the billing.  Checked their rate sheet online and it says the same rate as 2019 - Only ALCOSAN's rate increased.
Survey from Rob Zahorchak; Same rate as 2018 $4.70/1,000.  Does not include ALCOSAN rates.  The overall total bill only increased by ALCOSAN's increase of $7.85</t>
  </si>
  <si>
    <t>3/24/20: WPJWA still does the billing.  Checked their rate sheet online and it says the same rate as 2019 - Only ALCOSAN's rate increased.
2019: WPJWA does the billing;  Called WPJWA to confirm the rates. (April 2019) $5.75/1,000 gallons.  No municipal rate increase.</t>
  </si>
  <si>
    <t xml:space="preserve">3/24/20: WPJWA still does the billing.  Checked their rate sheet online and it says the same rate as 2019.  Only ALCOSAN's rate increased. 
2019: WPJWA does the billing;  Called WPJWA to confirm the rates. (April 2019) $4.50/1,000 gallons and .83334/mo service charge. </t>
  </si>
  <si>
    <t xml:space="preserve">3/24/20: WPJWA still does the billing.  Checked their rate sheet online and it says the same rate as 2019- 30% of ALCOSAN's rate. ALCOSAN's rate increased so East Pittsburgh's municipal portion increased as well. 
2019: Shane Lanham completed the survey.  They bill monthly through WPJWA. He indicated no increase in sewage rates but they charge 30% of the total ALCOSAN sewage charge so while the percentage did not increase, the total sewer bill did due to ALCOSAN's increase. </t>
  </si>
  <si>
    <t>3/24/20: WPJWA still does the billing.  Checked their rate sheet online and it says the same rate as 2019.  Only ALCOSAN's rate increased. 
2019: Survey completed by Diane Turley (March 2019).  They only charge $3.50/1,000 gallons plus ALCOSAN fees.  The municipal portion of the bill did not increase; only the ALCOSAN portion.</t>
  </si>
  <si>
    <t>3/24/20: WPJWA still does the billing.  Checked their rate sheet online and it says the same rate as 2019.  Only ALCOSAN's rate increased. 
Survey completed by Julie Pantalone (March 2019) but she only included the ALCOSAN fees. WPJWA does the billing;  Called WPJWA to confirm the rates.  They remain $2.50/1,000 gallons; the same as 2018.</t>
  </si>
  <si>
    <t>3/24/20: WPJWA still does the billing.  Checked their rate sheet online and it says the same rate as 2019.  Only ALCOSAN's rate increased. 
2019: Survey completed by  Rebecca Vargo, but it only included ALCOSAN charges.  Called WPJWA who does their billing and confirmed that the rate is the same as 2018. $5 for the first 1,000 gallons and $2.50/1,000 after that plus ALCOSAN</t>
  </si>
  <si>
    <t>3/24/20: WPJWA still does the billing.  Checked their rate sheet online and it says the same rate as 2019.  Only ALCOSAN's rate increased. 
WPJWA does the billing;  Called WPJWA to confirm the rates. (April 2019) $1.75/1,000 gallons.  The municipal rate increased a quarter from 1.50/1,000 in 2018.</t>
  </si>
  <si>
    <t>3/24/20: WPJWA still does the billing.  Checked their rate sheet online and it says the same rate as 2019.  Only ALCOSAN's rate increased. 
WPJWA does the billing;  Called WPJWA to confirm the rates. (April 2019) $3.00/1,000 gallons.  The municipal rate stayed the same as 2018.</t>
  </si>
  <si>
    <t>3/25/20: Email confirmation from Deborah Brown that rates have remained the same for 2020. They charge 35% of ALCOSAN's fees as their municipal fee so the rate has gone up a little over $2 as ALCOSAN's rate increased..</t>
  </si>
  <si>
    <t>3/31/2020: 2020 rate data was obtained from the Monroeville Authority website: https://www.monroevillewater.org/csa/2020-water-and-sewer-rates. Rates remain at $12.75/1,000 gal which incl. ALCOSAN's usage fee of $8.50 so they are absorbing ALCOSAN's increase.  The only increase for residents will be the slight increase ($1.17) in the ALCOSAN quarterly service fee.
2019 rate data was obtained from a news page on the Monroeville Authority website.  https://www.monroevillewater.org/csa/2019-water-and-sewer-rates  Rates remain at $12.75/1,000 gal which incl. ALCOSAN's usage fee of $7.94.</t>
  </si>
  <si>
    <t>3/31/2020: Steve Morus confirmed that the rates stayed at $4.75/1,000 for 2020 via an email.
Per survey from Steve Morus (Feb. 2019), the municipal sewer rates of $4.75/1,000 gal did not increase.  The overall total bill only increased by ALCOSAN's increase of $7.85</t>
  </si>
  <si>
    <r>
      <t xml:space="preserve">3/31/2020: Emailed Mike Branthoover. Rates remained the same for 2020.  $156.90 regardless of usage.  We removed alcosan's total fees ($119.86) to determine the municipal portion of the bill.  
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We just Removed ALCOSAN's charges from the total to determine the flat municipal rate.</t>
    </r>
  </si>
  <si>
    <t xml:space="preserve">3/31/20: Emailed Stan Caroline and he asked Angela Zippi to reply that Penn Township's rates for 2020 increased slightly: $91.73 0-3000 gallons and $8.92 per additional 1000 gallons. Includes Alcosan's rates. The Township actually absorbed some of ALCOSAN's rate increase for their customers so the total customer bill only increase by about $4.50 for 12,000 gallon average bill.
Survey from Stan Caroline $90.01/3KG; $8.75/KG over 3KG. Quarterly. Phone call clarified that it Includes ALCOSAN fees. They said their rate increased by 1.74% </t>
  </si>
  <si>
    <t>4/2/20: Howard confirmed via email that Plum Boro's rates have stayed the same.
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</si>
  <si>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 xml:space="preserve">3/2020:  2020 rates posted on Trafford website remain the same as 2019. ALCOSAN fees are separate.
Obtained 2019 rate information from Trafford website http://www.traffordborough.com/sewage-dept  Rates remained the same as 2018. $18 quarterly service charge and $6.00/1,00 gallons with a minimum charge of $36 for 6,000 gallons. </t>
  </si>
  <si>
    <t>3/2020: 2020 rates were obtained from the website below.  Rates increased to $11.77/1,000 gallons and $23.54 service charge.  As previously confirmed in 2019, these rates include alcosan fees.
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</si>
  <si>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 xml:space="preserve">4/2/2020: Received an email response from Valentina regarding 2020 rates which are $132.67 per 10,000 galons and $1.50/1,000 thereafter.
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$1.50/1,000.  Alcosan rates are not listed separately on the bill.
</t>
  </si>
  <si>
    <t>Aspinwall^</t>
  </si>
  <si>
    <t>Based on 12,000 gallons</t>
  </si>
  <si>
    <t xml:space="preserve">4/2020:  Emailed Dawn for an update and she verfied that Aspinwall's 2020 rates remain the same as 2019. 
2019: Spoke by phone with Dawn Eastley, Assistant borough manager,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</si>
  <si>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4/2020: Lorraine Makatura confirmed via email that Avalon's rates remain the same for 2020.
2019: Survey completed by Lorraine Makatura (March 2019).  Avalon has not increased its rates since they began implementing a municipal fee in 2005.</t>
  </si>
  <si>
    <t>4/14/2020: Sent an email to Kathy U via the Blawnox website. Kathy responded with this information: The $45 sewer line surcharge is still in place.  The first 1,000 gallons is a  minimum charge which includes $17.86 per customer fee from ALCOSAN and $10.70 for the processing. $28.56 is the cost of the first 1,000 gallons and $10.70 for each additional 1,000 gallons.  Using the same structure as last year's fees, we removed ALCOSAN's per 1,000 gallon charge from the fee to determine the municipal portion of the fee.  
2019: Confirmed rates with Kathy Ulanowicz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</si>
  <si>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t xml:space="preserve">April 2020: I emailed Connie and she responded: The 2020 sewage rates for East McKeesport are as follows: $10.95 per thousand gallons with a minimum charge of $87.60 per 8,000 gallons or less. We subtracted ALCOSAN's rates to determine the muncipal portion.
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</si>
  <si>
    <t>East McKeesport</t>
  </si>
  <si>
    <t>4/2020: Obtained the 2020 sewer rates from Fox Chapel Authority website. Rates remained the same. Only alcosan's rates increased. http://www.foxchapelwater.com/rates-and-fees/
2019 sewer rates obtained from Fox Chapel Water Authority website. http://www.foxchapelwater.com/rates-and-fees/ (April 2019)</t>
  </si>
  <si>
    <t>O'Hara^</t>
  </si>
  <si>
    <t xml:space="preserve">Indiana - Ottawa^ </t>
  </si>
  <si>
    <t xml:space="preserve">Indiana - Fairview^ </t>
  </si>
  <si>
    <t xml:space="preserve">Indiana - Middle Rd. I &amp; II^  </t>
  </si>
  <si>
    <t>4/2020: Obtained rates (updated 1/1/20) on the MTSA website and used the structure from 2019. (ie. alcosan rates are included in the fee and absorbed by MTSA for those residents serviced by alcosan.)
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</si>
  <si>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4/2020: Checked the Franklin Park website and it notes that MTSA does the billing  for Franklin Park. Rates are listed as current for 1/1/2020.  Following the same pattern as 2019 with the assumption that Franklin Park has the same rates as McCandless.
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</si>
  <si>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4/2020: I emailed Sue and she replied with the following rates.  Bimonthly surcharge of $19.07 (does not include alcosan) and per thousand gallon rate of $12.81, which does include alcosan so the municipal portion becomes $4.31/1,000. 
Survey completed by Sue Brown (Feb. 2019). Billing is every two months: $17.82 service charge; $4.07/1,000.  Etna's rates increased by 7% along with ALCOSAN's rate increase.  This rate structure does not include ALCOSAN fees.</t>
  </si>
  <si>
    <t>4/2020:  Emailed Candy.  She confirmed that the rates have stayed the same for 2020.  
2019: 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</si>
  <si>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4/2020: 4/2020:  Emailed Candy.  She confirmed that the rates have stayed the same for 2020.  
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</si>
  <si>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 xml:space="preserve">4/2020:  Emailed Candy.  She confirmed that the rates have stayed the same for 2020.  She also reiterated that about 30 customers in District I in 2019 began incurring a monthly service fee of $15 for a new pump station.  Didn't represent the whole district so it is not included. 
2019: 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</si>
  <si>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 xml:space="preserve">4/2020: Checked the Ohio Township Sanitary Authority website and found that the rates are unchanged for 2020.  The 2020 rate strucure was effective Jan.1, 2020.  https://www.ohiotwp.org  Flat quarterly service fee of $60.76 and$10.05/1,000 gal.  Since these fees include ALCOSAN rates and ALCOSAN fees increased in 2020, the municipality is absorbing the increase.
2019: Survey completed by Marsha Grom (Feb. 2019). Ohio Twp flat service fee of $60.76 stayed the same from 2018, but usage rate increased by 7% to $10.05/1,000 gal.  They bill quarterly. These fees includes ALCOSAN rates.  </t>
  </si>
  <si>
    <t>Ohio Township^</t>
  </si>
  <si>
    <t xml:space="preserve">4/2020:  Shaler website published 2020 rates.  Remained the same at $6.32 flat service fee bimonthly and $2.00/1,000 gallon usage. ALCOSAN fees are separate.  To represent the quarterly bill, we took the flat service fee, divided by 2 and multiplied by 3. 
2019: Survey completed by Judith Kording (March 2019). $6.32 flat service charge every two months. No rate increase other than ALCOSAN. </t>
  </si>
  <si>
    <t>Shaler - Girty's Run Area</t>
  </si>
  <si>
    <t xml:space="preserve">4/2020: Shaler Township's website published the 2020 rates.  Girty's Run rates have increased slightly.  They are charged $3.50/1,000 with a minimum of 3,000 gallons bimonthly. ($10.50 vs $8.50 in 2019) We mulitiplied this fee by 3 for the gallons, divided it by 2 and mulitiplied by 3 to represent a quarterly bill. Anything over the 3,000 gallons is charged at $3.50/1,000 gallons vs $2.50/1,000 in 2019.  Alcosan fees are separate. 
2019: Survey completed by Judith Kording (March 2019). $8.50 flat service charge every two months for a minimum usage of 3,000 gallons. No rate increase other than ALCOSAN. Base minimum rate was multiplied by 1.5 to represent the third month in the quarter. </t>
  </si>
  <si>
    <t>3/31/2020: We checked the PWSA website and the current rates were listed as effective March 1, 2019 so we included them for 2020 until we can check with PWSA to see if there is an increase planned for 2020. 4/20: sent an email to Julie Quigley to check. She confirmed that their website has the most current rates. Bill monthly. Minimum charge is $8.28/1,000 gallons.  Rate is $7.43/1,000 thereafter.
2019: 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</si>
  <si>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 xml:space="preserve">3/2020: On the Oakmont website, it says they do billing for Penn Hills.. http://www.oakmontwater.com/rates.html.  Rates are listed as $8.33/month service charge and $20.04/1,000.  Following 2019 formula, these include the Alcosan rates.
2019: WPJWA does the billing.  Pulled info from WPJWA rate sheet online. Monthly service fee went from $10 in 2019 to $6.66 in 2020.  Per thousand rate increased from $19.37/1,000 to $20.04/1,000.  Both include ALCOSAN's fees. Flat fee was multiplied by 3 for a quarterly bill and we subtracted both Alcosan fees from the municipal portion of the bill. </t>
  </si>
  <si>
    <t>4/2020: Emailed Ron Borczyk, Ross Manager for an update. Jessica Crawshaw responded by attaching their ordinance with the 2020 rates.  4.50 quarterly service charge and 4.50/1,000 usage. Alcosan charges are separate.
2019: Survey completed  Doug Sample (March 2019). Rates stayed the same.  Only the ALCOSAN increase.</t>
  </si>
  <si>
    <t xml:space="preserve">4/2020: Sent an email to Lisa Pisanko, Water Clerk. She replied with the rates: The new rates for 2020 are Alcosan charges are 10.79/per 1,000 gallons and Girty’s Run are 14.29/per 1,000 gallons (10.79 + 3.50 Girtys charge).  
2019: Phone call with Kim at Reserve (April 2019)  $10.08/1,000 including ALCOSAN rate.  No service charge. About a 7% increase in municipal charge from $2.00 to $2.14/1,000 gallons. </t>
  </si>
  <si>
    <t xml:space="preserve">4/2020: Sent an email to Lisa Pisanko, Water Clerk. She replied with the rates: The new rates for 2020 are Alcosan charges are 10.79/per 1,000 gallons and Girty’s Run are 14.29/per 1,000 gallons (10.79 + 3.50 Girtys charge).  
Phone call with Kim at Reserve (April 2019)  $12.58/1,000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</si>
  <si>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4/2020: Emailed Jeanne Creese to see if the rates are the same for 2020. The rates have stayed the same for 2020  although Jeanne indicated that: "We have initiated a rate study and I anticipated a rate increase for July 2020.  Due to the current emergency, that may be delayed until later in 2020 or early 2021."
2019: 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</si>
  <si>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4/2020: Emailed Kim Frollini at Hampton Shaler Water Authority to check on Sharpsburg's rates. She shared that Sharpsburg's rates are $33.24 for a minimum usage of 2,000 gallons bimonthly.  This amount includes ALCOSAN's service fee and per thousand rate of $8.50. After the minimum usage of 2,000, the rate is 
$10.70 per 1,000 gallons, which includes Alcosan also. Since the bill is bimonthly,  to translate these fees into a quarterly, bill the base rate of 33.24 was multiplied by 1.5 and then ALCOSAN fees removed. The minimum usage was changed to reflect a quarterly bill also-(2,000*1.5) The 9,000 additional gallons were calculated using the $10.70/1,000 minus ALCOSAN charge.
2019: Survey completed by Barb Ruhie.  Sharpsburg bills every two months.  It provided conflicting information so the rates were confirmed with a call to Hampton Water/Sewer Authority (4/17/19) who does the billing Flat rate increased from $31.74 to $32.46/2,000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</si>
  <si>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April 2020: Baldwin borough website (https://www.baldwinborough.org/259/Sewage ) sewage rates lists 2020 rates as $12.52 per 1,000 gallons with a monthly sewage surcharge of $14.75.  Using the same formula as 2019, we first removed alcosan fees before calculating the quarterly municipal fees.  These rates were also reported in a Tribune Review article https://triblive.com/local/south-hills/no-increase-in-real-estate-taxes-while-sewage-rates-soar-in-baldwin-borough/
Survey completed by Caitlin Hornyak. (March 2019): Email clarified that ALCOSAN rates were included in the $11.52/1,000 rate and 6.75 flat charge.  Overall rates did not increase so Baldwin absorbed ALCOSAN's increase.</t>
  </si>
  <si>
    <t>Baldwin Borough</t>
  </si>
  <si>
    <t xml:space="preserve">04/2020:  Bridgeville website lists rates as the following: https://ecode360.com/14258731  Monthly billing:  $14.73/1,000 gallons usage fee plus ALCOSAN service charge of $5.95.  The $5.95 monthly service charge translates to $17.86, so these represent Bridgeville's 2020 rates.  ALCOSAN usage charge is rolled into the $14.73/1,000 gallons. When you remove the alcosan usage charge, the municipal rate is $6.23/1,000 so it remains unchanged from 2019. 
2019: As per survey from Lori Collins(Feb 2019).  Municipal rate of 6.23/1,000 gal did not increase. Overall rates only increased by ALCOSAN's new charges. </t>
  </si>
  <si>
    <t>04/2020: The CTMA website (http://www.collierctma.com) lists these rates as effective from March 2018 so they remain the same for 2020. $12.65/1,000 gallons and $6.20 monthly service fee.  Includes ALCOSAN fees.   
2019: As per survey from Lori Thompson and Pattie Asturi (Feb 2019)  Overall rates did not increase. $12.65/kg, $6.20 monthly s.c.  Phone call with Lori Thompson clarified that it includes ALCOSAN fees. Collier absorbed ALCOSAN's increase.</t>
  </si>
  <si>
    <t>Peters Township</t>
  </si>
  <si>
    <t>04/2020: Peters Township Sanitary Authority published 2020 rates. http://www.ptsaonline.org/PTSA_fees.htm $42 quarter flat fee and $8.10/1,000 for usage. These include ALCOSAN fees.
2019: Survey completed by Enoch Jenkins General Manager, Peters Township Sanitary Authority. ejenkins@ptsaonline.org(March 2019).  $36.00 service charge and $7.15/1,000 gallons.  These include ALCOSAN rates.  Peters has only a few ALCOSAN customers so they absorb the cost of the additional ALCOSAN rates for those customers.</t>
  </si>
  <si>
    <t>North Fayette</t>
  </si>
  <si>
    <t>West Mifflin</t>
  </si>
  <si>
    <t>04/2020: Found information on the Whitaker borough website regarding 2020 sewer rates. https://www.whitehallboro.org/borough-pages/finance-tax.html "The 2020 sewage rate is $13.43 per thousand of gallons of water used. In addition, the Allegheny County Sanitary Authority (ALCOSAN) bills a Customer Service charge of $17.86 per bill."
2019: 2019 rates were obtained from JORDAN TAX SERVICE (4/16/19).  Municipal usage rate increased by 30 cents from $4.30 to $4.60  (about 6% increase).  $12.54/1,000.  includes ALCOSAN rates.  They bill quarterly.</t>
  </si>
  <si>
    <t>4/2020: Emailed the new borough manager, Russell McKibbben manager@craftonborough.com  to get an update. 
Russell responded that Crafton's rates have stayed the same. $2.25 monthly service fee and $8.40/1,000 gal. Only ALCOSAN's rates have increased. 
2019:  Survey completed by RJ Susko (Feb. 2019).  Crafton rates have remained the same as 2018.  Bill monthly. $2.25 monthly service fee and $8.40/1,000 gal.  This rate does not include ALCOSAN's rates so the overall sewer rate has only increased by ALCOSAN's rate increase.</t>
  </si>
  <si>
    <t>4/2020: I emailed George Zboyovsky, Borough Manager, to check on the 2020 rates and the fee schedule on their website only included 2019. gzboyovsky@brentwoodboro.com   Amy Medway responded that the municipal rates have stayed the same as 2019. amedway@brentwoodboro.com They charge a total of $10.52 and $17.41/1,000 which includes alcosan rates.  When alcosan fees are removed, the muncipal portion is the same as 2019: $4.57 service fee monthly and $8.91/1,000 gallons.
2019: 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</si>
  <si>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04/2020: Sent an email to Janice Adamski, Borough Manager, for an update. manager@heidelbergborough.org   She responded with the ordinance that they passed with alcosan's increased rates listed and also Heidelberg's of $5.48 monthly service charge and $8.62/1,000 gallons.  The service charge is a few cents less than we had for 2019. Service charges do not usually decrease, but since this is such a nominal difference, we left it as is for 2019. 
2019: 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</si>
  <si>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04/2020: Emailed Gloria Stroop, McDonald Sewage Authority Recording Secretary to get an update (McDonald Sewage Authority does not have a website)mcdonaldsewage@mcdonaldboro.com.  She responded confirming that their service fee has remained at $24,70/month and usage has increased from $10.50 to $11.50/1,000.  Alcosan fees are included in this structure.
2019: Survey from Gloria Stroop (Feb. 2019) $24.7/ monthly SC; $10.50/MG incls. ALCOSAN rates.  Municipal rate did not increase from 2018.  No overall increase so McDonald absorbed ALCOSAN's increase.</t>
  </si>
  <si>
    <t>McDonald</t>
  </si>
  <si>
    <t xml:space="preserve">04/2020: Sent an email to Teresa Windstein, Assistant Finance Director, for an update. twindstein@mtlebanon.org.  She confirmed that Mt. Lebanon's rates stayed at $4.05/1,000. Alcosan rates are in addition to that.
2019: Survey completed by Teresa Windstein (Feb. 2019).  Mt. Lebanon rate $4.05/1,000 and no flat service feel.  The total overall sewer fee only increased by the ALCOSAN increase ($7.85) </t>
  </si>
  <si>
    <t>04/2020: Sent an email to Rick Hopkinson, Borough Manager, for an update. 
rick.hopkinson@mtoliver.com.  Rick confirmed that Mt. Oliver's rates have stayed at $7.12/1,000 plus ALCOSAN charges.
2019: Survey completed by Rick Hopkinson. (March 2019).  No rate change from 2018.  Remains $7.12/thousand plus all ALCOSAN charges.</t>
  </si>
  <si>
    <t xml:space="preserve">04/2020: Emailed Dave Lodovico, finance director, for an update. dlodovico@north-fayette.com.  He shared a resolution that they passed in September 2019 that includes a schedule of rate increases through 2026.  The now have a minimum monthly usage fee of $23 for 3,000 gallons. Their rate is $9/1,000 thereafter.  Both of these rates include ALCOSAN fees.  While it seems like they take a loss on each customer, many of their customers are serviced by the Moon Municipal Authority, which has a much lower rate structure.  This rate structure blended across both alcosan and Moon customers does not result in an overall loss for North Fayette, but we chose to only list the alcosan rates since the sewer rate survey is based on the alcosan service area only. 
2019: 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</si>
  <si>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 xml:space="preserve">04/2020: Emailed Kelly Theiss, Borough Manager, for an update. kelly.theiss@pleasanthillspa.com.  Kelly confirmed that their rates have stayed the same.   Since they have only a few ALCOSAN customers, they choose to absorb ALCOSAN fees for those customers.  $13.34 monthly service fee and $7/1,000 gallons. ALCOSAN fees are included. 
2019: ALCOSAN provides minimal service (like 6 homes), they have their own treatment plant.  4/16/19 Spoke with Kelly Theiss, the borough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</si>
  <si>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 xml:space="preserve">4/2020: Emailed Stacey Graf for an update. SGraf@bethelpark.net.  Stacey replied that the rates have stayed the same for 2020. $15 monthly service charge and $9/1,000 includes all ALCOSAN charges.  Bethel Park is absorbing Alcosan's increase.
Survey completed by Stacey Graf.  $15 monthly service charge and $9/1,000 includes all ALCOSAN charges. Stacey provided details in the notes that confirms this.  Bethel Park absorbed ALCOSAN's increase so there is no overall increase in the total sewer rates from 2018. </t>
  </si>
  <si>
    <t>04/2020: Sent an email to Dave Montz to get an update for 2020. dmontz@greentreeboro.com   He responded that their rates have stayed the same. Municipal rate of $5.00/1,000 did not increase.  Alcosan charges are separate and on top of this rate.
2019: As per survey from Dave Montz (Feb 2019)  Overall rates only increased by ALCOSAN's increase. Municipal rate of $5.00/1,000 did not increase. Phone call with Dave clarified this.</t>
  </si>
  <si>
    <t>04/2020: Emailed Denise Fitzgerald, Township Manager for an update. dfitzgerald@scotttownship.com. Denise replied.  Scott Township's rates stayed the same in 2020. $3.00/1,000 gal in 2019. ALCOSAN rates are separate.
Survey completed by Denise Fitzgerald (March 2019).  Municipal rate increased 50% from $1.50/1,000 gal to $3.00/1,000 gal in 2019. ALCOSAN rates are separate.</t>
  </si>
  <si>
    <t xml:space="preserve">04/2020: Emailed Jerry Brown, Managing Director of the South Fayette Municipal Authority for an update.  Jerry responded.  Their monthly service fee decreased again this year from  $6.44 to $6.05 and their per thousand gallon charge increased from $3.56/1,000 to $3.65/1,000. 
2019: Per Jerry Brown survey response. reduced monthly service fee from $6.80 to $6.44 (decrease of 5.3%) and increased rate per 1,000/gal from $3.34 to $3.56 (increase of 3.8%).   </t>
  </si>
  <si>
    <r>
      <t xml:space="preserve">04/2020: Emailed Nick Martini, Township Manager for an update. nmartinistowetownship@gmail.com.  Nick Martini responded that STowe's fee of $4.50/1,000 remains the same for 2020.  Only ALCOSAN fees have increased.
2019: 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</si>
  <si>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4/2020: Emailed Dorothy Falk, Secretary/Treasurer, for an update. thornburg.secretary@gmail.com.  Dorothy repled and confirmed that Thornburg does not charge any municipal fee continuing into 2020.  Alcosan bills customers directly.
2019: Survey completed by Dorothy Falk (March 2019).  ALCOSAN bills customers directly.  Thornburg does not charge an additional municipal fee.</t>
  </si>
  <si>
    <t>04/2020: Emailed Mark Romito, Director of Finance for an update. romito@twpusc.org.  Mark responded and said that USC once again used the 2X ALCOSAN rate formula so their rates increased the same as ALCOSAN's. $5.95/monthly service fee and $8.50/1,000 gallons.
Survey completed by Mark Romito, Director of Finance (March 2019) Multiplier set at 2.00 times ALCOSAN rates….monthly service charge $5.56 &amp; $7.94/1,000 gallons.  Overall the muncipal portion of the bill increased by 1.9% according to Mark.</t>
  </si>
  <si>
    <t xml:space="preserve">04/2020: I checkd the WMSSMA website and it looks like their rates have increased to a $19/monthly service charge and the per 1,000 gallon rate stayed at $8.58.  The structure includes alcosan fees. Emailed Marinda Henze, West Mifflin Sanitary Sewer Municipal Authority to confirm. mindylulu@wmssma.org  Marinda confirmed that the rates above are current for 2020. 
2019: Survey from Marinda Henze, West Mifflin Sanitary Sewer Municipal Authority. $17/mo. scvs. Charge and 8.58/1,000 gal.  Includes ALCOSAN fee.  No overall rate increase this year so West Mifflin absorbed ALCOSAN's increase. </t>
  </si>
  <si>
    <t>04/2020: Emailed Jean Warren, Secretary for an update. whitaker@rdm-inc.com  Jean replied that there has been no change to Whitaker's rates. They remain at municipal flat rate of $11.89/4,500 gallons min. usage monthly and $2.50/1,000 after that. 
2019: Per survey from Jean Warren, Secretary, municipal flat rate of $11.89/4,500 gallons min. usage monthly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</si>
  <si>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t>Scott^</t>
  </si>
  <si>
    <t>Thornburg^</t>
  </si>
  <si>
    <t>4/2020: Emailed Michele Garvey, Office Manager, West View Water Authority, for an update. mgarvey@westviewwater.org  She replied that only ALCOSAN rates have changed.  West View's rates stayed 
the same at $3.99/1,000 gallons and $13.15/monthly service charge.
2019: Survey completed by Michele Garvey (April 2019).  Rates did not change from 2018.  Bill monthly.  $3.99/1,000 gallons and $13.15/monthly service charge.</t>
  </si>
  <si>
    <t>Baldwin Township</t>
  </si>
  <si>
    <t>Ben Avon Heights</t>
  </si>
  <si>
    <t>Carnegie</t>
  </si>
  <si>
    <t xml:space="preserve"> 5/2020: Jordan Tax Service (Stephanie Conaway sconaway@jordantax.com) provided 2020 rates:No monthly municipal service fee.  Fee only increased by alcosan's increase from 12.44/1,000 to $13.00/1,000 in 2020. 
2019 rates were obtained from JORDAN TAX SERVICE (4/16/19).  Municipal rates are same as 2018.  $12.44/1,000, which includes ALCOSAN usage rate.  The municipal usage fee remains at $4.50/1,000.  Overall bill only increased by ALCOSAN's increase.</t>
  </si>
  <si>
    <t>4/2020:  Could not find current info on Carnegie website so Jordan Tax Service will be our source. 5/2020: Jordan Tax Service (Stephanie Conaway sconaway@jordantax.com) provided 2020 rates: No monthly municipal service fee.  $14.80/1,000 gallons, which includes alcosan usage fee. Municipal fee actually went down a little. because they absorbed some of alcosan's increase.
2019 rates were obtained from JORDAN TAX SERVICE (4/16/19).  Municipal rates are same as 2018.  $14.29/1,000, which includes ALCOSAN usage rate.  The municipal usage fee remains at $6.35/1,000.  Overall bill only increased by ALCOSAN's increase.</t>
  </si>
  <si>
    <t>5/2020: Jordan Tax Service (Stephanie Conaway sconaway@jordantax.com) provided 2020 rates: No monthly municipal flat fee.  $14/1,000 includes alcosan usage rate. 
2019 rates were obtained from JORDAN TAX SERVICE (4/16/19).  Municipal rates are same as 2018.  $13.44/1,000, which includes ALCOSAN usage rate.  The municipal usage fee remains at $5.50/1,000.  Overall bill only increased by ALCOSAN's increase.</t>
  </si>
  <si>
    <t xml:space="preserve">5/2020: Jordan Tax Service (Stephanie Conaway sconaway@jordantax.com) provided 2020 rates:
$11.76/1,000 gallons and $18.27 quarterly service fee.  Both figures include Alcosan rates. The municipal portion of the rates actually decreased from 2019.
As of 4/16/19: no rate change has been reported for 2019 to Jordan Tax Service who does the billing. </t>
  </si>
  <si>
    <t>04/2020: Found an update from Dec. 2019 council meeting on Rosslyn Farms website that mentioned alcosan's increase being passed on to residents.  Want to double check with Jordan Tax Service that the municipal portion remains only $6/1,000 gallons.  5/2020: Jordan Tax Service (Stephanie Conaway sconaway@jordantax.com) provided 2020 rates: No monthly municipal service fee and $14.50/1,000 for usage.  Includes alcosan fee and only increased by alcosan's increase so the municipal portion remains $6.00/1,000.
2019 rates were obtained from JORDAN TAX SERVICE (4/16/19).  Municipal rates are same as 2018.  $13.94/1,000, which includes ALCOSAN usage rate.  The municipal usage fee remains at $6.00/1,000.  Overall bill only increased by ALCOSAN's increase.</t>
  </si>
  <si>
    <t>5/2020: Jordan Tax Service (Stephanie Conaway sconaway@jordantax.com) provided 2020 rates: $7.23 flat monthly service charge and $13.05/1,000 gallons usage.  Both fees include alcosan rates and only increased by alcosan's increase. Municipal rates remain at $1.28 monthly service fee and $4.55/1,000 usage.
2019 rates were obtained from JORDAN TAX SERVICE (4/16/19).  Municipal rates are same as 2018.  $6.84/monthly service fee and $12.49/1,000. Both include ALCOSAN rates.  The municipal fees remaiin at $1.28/mo service fee and  $4.55/1,000.  Overall bill only increased by ALCOSAN's increase.</t>
  </si>
  <si>
    <t>Millvale - Girty's Run</t>
  </si>
  <si>
    <t>4/2020: Obtained sewer rates from the Fox Chapel Water Authority website.Says effective 1/1/19: $5.75 qtr charge and $2.35/1,00 gallons. Rates have stayed the same for 2020. http://www.foxchapelwater.com/rates-and-fees
2019 sewer rates obtained from Fox Chapel Water Authority website. http://www.foxchapelwater.com/rates-and-fees/ (April 2019)</t>
  </si>
  <si>
    <t xml:space="preserve"> 5/2020: Jordan Tax Service (Stephanie Conaway sconaway@jordantax.com) provided 2020 rates which increased from 2019:  $7.35 monthly service fee. Includes alcosan so municipal portion is $1.40.  $14.50 for first 5,000 gallons (over the quarter even though it's bill monthly). After first 5,000 gallons, charged $6.00/1,000 by Girty's Run and $10.35/1,000 which includes alcosan.  In the end, Girty's Run gets the $6.00/1,000 and Millvale gets $1.85/1,000 so we rolled these rates together to represent the municipal piece at $7.85/1,000 gallons.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</si>
  <si>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 xml:space="preserve">04/2020:  Could only find info on Kennedy website for 2019.  Will get in touch with Jordan tax service. 5/2020: Jordan Tax Service (Stephanie Conaway sconaway@jordantax.com) provided 2020 rates: No quarterly muncipal service fee.  Charged $73.01 for 1-7,000 gallons and then $10.43/1,000 gallons after that. Alcosan fees are included in those rates.
2019: Data on 2019 sewer rates obtained online. (April 2019) http://www.kennedytwp.com/sewer-department/  Increased from $9.10/1,000 in 2018 to $9.75/1,000.  Includes ALCOSAN fees.  </t>
  </si>
  <si>
    <t>5/2020: 5/2020: Jordan Tax Service (Stephanie Conaway sconaway@jordantax.com) indicated that Ingram has not yet updated their fees with Jordan so they are charging customers the 2018 rates (including Alcosan's 2018 rates of $5.20 service fee monthly and 7.42/1,000 gallons).  To accurately represent Ingram's municipal rates for this survey, we calculated a total bill for an Ingram customer (using Ingram's current billing structure/rates with Jordan) and then changed the municipal portion of the rate to reflect that they are absorbing the alcosan increase for their customers.  
According to JORDAN TAX SERVICE (4/16/19), no ordinance has been passed in Ingram to change the rates so they will continue billing as they have in 2018. For the purposes of the study, we have kept the rates the same as well.  The only increase would be ALCOSAN's increase.</t>
  </si>
  <si>
    <t xml:space="preserve">5/2020: Jordan Tax Service (Stephanie Conaway sconaway@jordantax.com) indicated that Kilbuck has not yet updated their fees with Jordan so they are charging customers the 2019 rates (including Alcosan's 2019 rates of $16.69 quarterly service fee and $7.94/1,000).  To accurately represent their rates for this survey, we calculated a total bill for a Kilbuck customer (using Kilbuck's current structure/rate with Jordan) and then changed the municipal portion of the rate to reflect that they are absorbing the alcosan increase for their customers.  
$18.69 quarterly fee and $11.94/1,000 gallons usage.  Both include ALCOSAN fees so municipality absorbed alcosan's increase??
2019 rates confirmed with Jordan Tax Service who does the billing.  $18.69 quarterly fee and $11.94/1,000 gallons usage.  Both include ALCOSAN fees.  Rates only went up by ALCOSAN's increase. </t>
  </si>
  <si>
    <t>4/14/2020: Sent email to Kathy Taschner via Emsworth website. 5/18: Resent email to Cathy Jones, Borough Secretary, directly from Outlook rather than through their website. 05/2020: Kathy Taschner responded to my follow up email indicating that the Emsworth rates increased by alcosan's increase to $19.86 quarterly service fee and $13.85/1,000. The municipal rate stayed the same at $2 service fee and $5.35/1,000 gallons. 
Spoke with Kathy Taschner at Emsworth in the sewage office. (April 2019).  Bill quarterly. Their rates include ALCOSAN's. They did not increase the municipal rate from 2018.  Only ALCOSAN's rate went up. $18.69/service charge and $13.29/1,000 gallons</t>
  </si>
  <si>
    <t xml:space="preserve">4/2020:  Emailed Ken Opipery, Finance Director, for an update. opipery@benavon.com  5/18:  Forwarded my email request to Terrie Patsch, Borugh Secretary. benavon@benavon.com 5/2020: Ken replied... "Ben Avon does not collect revenues via a surcharge on ALCOSAN rates.If a tax increase is required to cover expenses, it is done through the budget process where needs are fulfilled via real estate taxes.  We feel that is more transparent than a surcharge on another entity’s rates."
Spoke with Terrie Patsch (April 2019) ALCOSAN bills Ben Avon customers directly; Terrie suggested speaking with Ben Avon's Finance Director Ken Opipery who confirmed that  Ben Avon does not have any municipal sewage charge. </t>
  </si>
  <si>
    <t>North Versailles</t>
  </si>
  <si>
    <t xml:space="preserve">3/31/20:  Sent an email to Frank Pearsol of NV Sanitary Authority. frank@nvtsa.com. 5/18  Resent the email. 5/2020: Sami Alvarez (sami@nvtsa.com) responded by attaching the authority's ordinance with current 2020 rates: $91.80 base charge quarterly for min. 6,000 gallons. $15.30/1,000 gallons for anything over 6,000 gallons. Both include alcosan fees. 
2019: 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</si>
  <si>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Homestead</t>
  </si>
  <si>
    <t xml:space="preserve">04/2020: Sent an email to Lauren Zang, Borough Manager, for an update. manager@homesteadborough.com.  REsent email on 5/18.  Vickie Pelkey, Administrative assistant, vpelkey@homesteadborough.com responded with their updated rates: The monthly service fee is $9.67 and 11.63/1,000.  Both include alcosan fees. 
2019: Phone call with Lauren Zang, Borough Manager (April 2019) confirmed that Homestead rates remained the same even though ALCOSAN charges increased.  Homestead just absorbs the increase. $9.27 monthly service charge and $10.87/1,000 gallons both of which include ALCOSAN fees. </t>
  </si>
  <si>
    <t>04/2020: Emailed the borough office (generic email found on McKees Rocks website) to get an update.  adminassistant@mckeesrocks.pa.us.  
Resent email on 5/18. LeeAnn Wozniak, Assistant Borough Secretary, replied and said we should contact Berkheimer once again. "Please call 866-309-6939 to confirm current rates" 5/2020: Spoke with a Berkheimer rep, James Hunt (jhunt@hab-inc.com).  McKees Rocks fees have remained the same for 2020.  The the quarterly municipal fee remained at $1.00 and $4.32/1,000 usage rate.  Alcosan fees are broken out separately on their bills.  Only alcosan fees have increased.  
2019: 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</si>
  <si>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 xml:space="preserve">4/2020: Emailed Paul Cusick, Interim Director of Administrative Services (listed on Bellevue Borough's website)cusick@bellevueboro.com  5/18: Resent the email. 5/26: Cindy Bahn is the new manager and she replied to the email saying that Bellevue's rates have remained the same: $2/quarterly servicd fee and $2.50/1,000 gallons usage. 
2019: Phone call with Rob Borczyk (April 2019) confirmed there is no increase in municipal sewer rates from 2018.  They remain $2.00 quarterly service charge and $2.50/1,000 gallon usage. </t>
  </si>
  <si>
    <t>Robinson</t>
  </si>
  <si>
    <t xml:space="preserve">04/2020: Emailed Darrin Niemeyer, Controller for The Municipal Authority of the Township of Robinson for an update. dniemeyer@robinsonwater.com 5/18: Resent email.  Did not hear from Darrin, so visited their website again - https://www.robinsonwater.com/sites/default/files/rate_schedule_5-1-2020.pdf -  and found updated sewer rates as of May 1, 2020: $23.73 quarterly fee and their usage fee increased from $72.4/1,000 to $7.94/1,000. Both include alcosan fees.
2019: Survey completed by Darrin Niemeyer, Controller,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</si>
  <si>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04/2020: Emailed Jackie Coles, manager of the Munhall Sanitary Sewer Municipal Authority, for an update. jcoles@mssma.us  Resent email on 5/18. June 2: Called Munhall Authority and their voicemail says to contact Legal Tax Service regarding sewer bills.  412-464-9555.  They confirmed Munhall's rates increased to $17 monthly service charge and $12.50/1,000 gallons usage.  Rate structure includes Alcosan's fees.
2019: Survey from Jackie Coles, $16.00/Mo. Scvs charge &amp; $11.50/KG.  Phone call clarified that it includes ALCOSAN fees.  No overall increase so Munhall absorbed ALCOSAN's increase.</t>
  </si>
  <si>
    <t>Munhall</t>
  </si>
  <si>
    <t xml:space="preserve"> 6/3: Called the borough and talked to Vicki Kaine, Borough Office Manager (kaine@oakdaleborough.com 724-693-9740).  She confirmed that the rates increased to $34.20 monthly for the first 1,000 gallons and $15.90/1,000 after that.  This rate structure includes Alcosan fees.5/18: Resent email.  No response. 04/2020: Emailed Laura Ahlborn, Borough Office Secretary, for an update. ahlborn@oakdaleborough.com   
2019: 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</si>
  <si>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6/3: Called Tom 412-885-9200, ext 103.  He confirmed that their rates increased to $7.55/1,000 gallons and alcosan rates are in addition to that. 
5/2020: Emailed Tom again.
04/2020: Couldn't find info on the borough websiste, so emailed Tom Hartswick for an update. t.hartswick@comcast.net
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</si>
  <si>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Plum^**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</si>
</sst>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16"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sz val="9"/>
      <name val="Calibri"/>
      <family val="2"/>
      <scheme val="minor"/>
    </font>
    <font>
      <vertAlign val="superscript"/>
      <sz val="11"/>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scheme val="minor"/>
    </font>
    <font>
      <i/>
      <sz val="9"/>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indexed="64"/>
      </right>
      <top/>
      <bottom/>
      <diagonal/>
    </border>
  </borders>
  <cellStyleXfs count="2">
    <xf numFmtId="0" fontId="0" fillId="0" borderId="0"/>
    <xf numFmtId="44" fontId="12" fillId="0" borderId="0" applyFont="0" applyFill="0" applyBorder="0" applyAlignment="0" applyProtection="0"/>
  </cellStyleXfs>
  <cellXfs count="72">
    <xf numFmtId="0" fontId="0" fillId="0" borderId="0" xfId="0"/>
    <xf numFmtId="0" fontId="1" fillId="0" borderId="0" xfId="0" applyFont="1" applyFill="1"/>
    <xf numFmtId="0" fontId="2" fillId="0" borderId="0" xfId="0" applyFont="1" applyFill="1" applyAlignment="1">
      <alignment horizontal="left" wrapText="1"/>
    </xf>
    <xf numFmtId="0" fontId="3" fillId="0" borderId="0" xfId="0" applyFont="1" applyFill="1"/>
    <xf numFmtId="0" fontId="4" fillId="0" borderId="0" xfId="0" applyFont="1" applyFill="1" applyBorder="1"/>
    <xf numFmtId="0" fontId="5" fillId="0" borderId="0" xfId="0" applyFont="1" applyFill="1"/>
    <xf numFmtId="0" fontId="5" fillId="0" borderId="0" xfId="0" applyFont="1" applyFill="1" applyAlignment="1">
      <alignment horizontal="center" wrapText="1"/>
    </xf>
    <xf numFmtId="0" fontId="5" fillId="0" borderId="0" xfId="0" applyFont="1" applyFill="1" applyBorder="1"/>
    <xf numFmtId="0" fontId="5" fillId="0" borderId="0" xfId="0" applyFont="1" applyFill="1" applyAlignment="1">
      <alignment horizontal="left" wrapText="1"/>
    </xf>
    <xf numFmtId="0" fontId="8" fillId="0" borderId="0" xfId="0" applyFont="1" applyFill="1"/>
    <xf numFmtId="0" fontId="9" fillId="0" borderId="0" xfId="0" applyFont="1" applyFill="1"/>
    <xf numFmtId="0" fontId="10" fillId="0" borderId="0" xfId="0" applyFont="1" applyFill="1"/>
    <xf numFmtId="0" fontId="1" fillId="0" borderId="0" xfId="0" applyFont="1" applyFill="1" applyBorder="1"/>
    <xf numFmtId="0" fontId="6" fillId="0" borderId="0" xfId="0" applyFont="1" applyFill="1"/>
    <xf numFmtId="164" fontId="5" fillId="0" borderId="0" xfId="0" applyNumberFormat="1" applyFont="1" applyFill="1"/>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5" fillId="2" borderId="0" xfId="0" applyFont="1" applyFill="1"/>
    <xf numFmtId="0" fontId="0" fillId="2" borderId="0" xfId="0" applyFont="1" applyFill="1"/>
    <xf numFmtId="0" fontId="5"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 xfId="0" applyFont="1" applyFill="1" applyBorder="1" applyAlignment="1">
      <alignment vertical="top" wrapText="1"/>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0" fontId="7" fillId="0" borderId="3" xfId="0" applyFont="1" applyFill="1" applyBorder="1" applyAlignment="1">
      <alignment vertical="top" wrapText="1"/>
    </xf>
    <xf numFmtId="0" fontId="0" fillId="0" borderId="0" xfId="0" applyFont="1" applyFill="1"/>
    <xf numFmtId="44" fontId="5" fillId="0" borderId="0" xfId="1" applyFont="1" applyFill="1"/>
    <xf numFmtId="0" fontId="5" fillId="0" borderId="0" xfId="0" applyNumberFormat="1" applyFont="1" applyFill="1" applyAlignment="1">
      <alignment vertical="top"/>
    </xf>
    <xf numFmtId="49" fontId="13" fillId="0" borderId="0" xfId="0" applyNumberFormat="1" applyFont="1" applyFill="1" applyAlignment="1">
      <alignment horizontal="left" vertical="top" wrapText="1"/>
    </xf>
    <xf numFmtId="49" fontId="13" fillId="0" borderId="1" xfId="0" applyNumberFormat="1" applyFont="1" applyFill="1" applyBorder="1" applyAlignment="1">
      <alignment vertical="top" wrapText="1"/>
    </xf>
    <xf numFmtId="0" fontId="13" fillId="0" borderId="3" xfId="0" applyFont="1" applyFill="1" applyBorder="1" applyAlignment="1">
      <alignment vertical="top" wrapText="1"/>
    </xf>
    <xf numFmtId="0" fontId="15" fillId="0" borderId="0" xfId="0" applyFont="1" applyFill="1"/>
    <xf numFmtId="0" fontId="2" fillId="0" borderId="0" xfId="0" applyFont="1" applyFill="1" applyBorder="1" applyAlignment="1">
      <alignment horizontal="left" vertical="top" wrapText="1"/>
    </xf>
    <xf numFmtId="0" fontId="5" fillId="0" borderId="8" xfId="0" applyFont="1" applyFill="1" applyBorder="1" applyAlignment="1">
      <alignment vertical="top" wrapText="1"/>
    </xf>
    <xf numFmtId="0" fontId="2" fillId="0" borderId="9" xfId="0" applyFont="1" applyFill="1" applyBorder="1" applyAlignment="1">
      <alignment vertical="top" wrapText="1"/>
    </xf>
    <xf numFmtId="0" fontId="5" fillId="0" borderId="11" xfId="0" applyFont="1" applyFill="1" applyBorder="1"/>
    <xf numFmtId="0" fontId="5" fillId="2" borderId="2" xfId="0" applyFont="1" applyFill="1" applyBorder="1" applyAlignment="1">
      <alignment vertical="top"/>
    </xf>
    <xf numFmtId="164" fontId="5" fillId="2" borderId="2" xfId="0" applyNumberFormat="1" applyFont="1" applyFill="1" applyBorder="1" applyAlignment="1">
      <alignment vertical="top"/>
    </xf>
    <xf numFmtId="3" fontId="5" fillId="2" borderId="2" xfId="0" applyNumberFormat="1" applyFont="1" applyFill="1" applyBorder="1" applyAlignment="1">
      <alignment vertical="top"/>
    </xf>
    <xf numFmtId="1" fontId="5" fillId="2" borderId="2" xfId="0" applyNumberFormat="1" applyFont="1" applyFill="1" applyBorder="1" applyAlignment="1">
      <alignment vertical="top"/>
    </xf>
    <xf numFmtId="0" fontId="7" fillId="2" borderId="10" xfId="0" applyFont="1" applyFill="1" applyBorder="1" applyAlignment="1">
      <alignment vertical="top" wrapText="1"/>
    </xf>
    <xf numFmtId="0" fontId="0" fillId="2" borderId="2" xfId="0" applyFill="1" applyBorder="1" applyAlignment="1">
      <alignment vertical="top"/>
    </xf>
    <xf numFmtId="164" fontId="0" fillId="2" borderId="2" xfId="0" applyNumberFormat="1" applyFont="1" applyFill="1" applyBorder="1" applyAlignment="1">
      <alignment vertical="top"/>
    </xf>
    <xf numFmtId="3" fontId="0" fillId="2" borderId="2" xfId="0" applyNumberFormat="1" applyFont="1" applyFill="1" applyBorder="1" applyAlignment="1">
      <alignment vertical="top"/>
    </xf>
    <xf numFmtId="1" fontId="0" fillId="2" borderId="2" xfId="0" applyNumberFormat="1" applyFont="1" applyFill="1" applyBorder="1" applyAlignment="1">
      <alignment vertical="top"/>
    </xf>
    <xf numFmtId="0" fontId="11" fillId="2" borderId="10" xfId="0" applyFont="1" applyFill="1" applyBorder="1" applyAlignment="1">
      <alignment vertical="top" wrapText="1"/>
    </xf>
    <xf numFmtId="0" fontId="5" fillId="2" borderId="0" xfId="0" applyFont="1" applyFill="1" applyAlignment="1">
      <alignment vertical="top"/>
    </xf>
    <xf numFmtId="0" fontId="5" fillId="2" borderId="2" xfId="0" applyFont="1" applyFill="1" applyBorder="1"/>
    <xf numFmtId="0" fontId="5" fillId="2" borderId="5" xfId="0" applyFont="1" applyFill="1" applyBorder="1" applyAlignment="1">
      <alignment vertical="top"/>
    </xf>
    <xf numFmtId="0" fontId="13" fillId="2" borderId="2" xfId="0" applyFont="1" applyFill="1" applyBorder="1" applyAlignment="1">
      <alignment vertical="top" wrapText="1"/>
    </xf>
    <xf numFmtId="8" fontId="5" fillId="2" borderId="2" xfId="0" applyNumberFormat="1" applyFont="1" applyFill="1" applyBorder="1" applyAlignment="1">
      <alignment vertical="top"/>
    </xf>
    <xf numFmtId="0" fontId="0" fillId="2" borderId="2" xfId="0" applyFont="1" applyFill="1" applyBorder="1" applyAlignment="1">
      <alignment vertical="top"/>
    </xf>
    <xf numFmtId="0" fontId="5" fillId="2" borderId="2" xfId="0" applyNumberFormat="1" applyFont="1" applyFill="1" applyBorder="1" applyAlignment="1">
      <alignment vertical="top"/>
    </xf>
    <xf numFmtId="164" fontId="5" fillId="2" borderId="0" xfId="0" applyNumberFormat="1" applyFont="1" applyFill="1" applyAlignment="1">
      <alignment vertical="top"/>
    </xf>
    <xf numFmtId="7" fontId="5" fillId="2" borderId="2" xfId="0" applyNumberFormat="1" applyFont="1" applyFill="1" applyBorder="1" applyAlignment="1">
      <alignment vertical="top"/>
    </xf>
    <xf numFmtId="0" fontId="7" fillId="2" borderId="10" xfId="0" applyNumberFormat="1" applyFont="1" applyFill="1" applyBorder="1" applyAlignment="1">
      <alignment vertical="top" wrapText="1"/>
    </xf>
    <xf numFmtId="44" fontId="5" fillId="2" borderId="2" xfId="1" applyFont="1" applyFill="1" applyBorder="1" applyAlignment="1">
      <alignment vertical="top"/>
    </xf>
    <xf numFmtId="1" fontId="5" fillId="2" borderId="2" xfId="1" applyNumberFormat="1" applyFont="1" applyFill="1" applyBorder="1" applyAlignment="1">
      <alignment vertical="top"/>
    </xf>
    <xf numFmtId="7" fontId="5" fillId="2" borderId="2" xfId="1" applyNumberFormat="1" applyFont="1" applyFill="1" applyBorder="1" applyAlignment="1">
      <alignment vertical="top"/>
    </xf>
    <xf numFmtId="0" fontId="2" fillId="2" borderId="10" xfId="1" applyNumberFormat="1" applyFont="1" applyFill="1" applyBorder="1" applyAlignment="1">
      <alignment vertical="top" wrapText="1"/>
    </xf>
    <xf numFmtId="0" fontId="5" fillId="2" borderId="4" xfId="0" applyFont="1" applyFill="1" applyBorder="1" applyAlignment="1">
      <alignment vertical="top"/>
    </xf>
    <xf numFmtId="0" fontId="7" fillId="2" borderId="2" xfId="0" applyFont="1" applyFill="1" applyBorder="1" applyAlignment="1">
      <alignment vertical="top" wrapText="1"/>
    </xf>
    <xf numFmtId="0" fontId="5" fillId="2" borderId="6" xfId="0" applyFont="1" applyFill="1" applyBorder="1" applyAlignment="1">
      <alignment vertical="top"/>
    </xf>
    <xf numFmtId="164" fontId="5" fillId="0" borderId="2" xfId="0" applyNumberFormat="1" applyFont="1" applyFill="1" applyBorder="1" applyAlignment="1">
      <alignment vertical="top"/>
    </xf>
    <xf numFmtId="3" fontId="5" fillId="0" borderId="2" xfId="0" applyNumberFormat="1" applyFont="1" applyFill="1" applyBorder="1" applyAlignment="1">
      <alignment vertical="top"/>
    </xf>
    <xf numFmtId="0" fontId="13" fillId="0" borderId="2" xfId="0" applyFont="1" applyFill="1" applyBorder="1" applyAlignment="1">
      <alignment vertical="top" wrapText="1"/>
    </xf>
    <xf numFmtId="0" fontId="5" fillId="0" borderId="5" xfId="0" applyFont="1" applyFill="1" applyBorder="1" applyAlignment="1">
      <alignment vertical="top"/>
    </xf>
    <xf numFmtId="0" fontId="7" fillId="0" borderId="2"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abSelected="1" topLeftCell="A28" zoomScaleNormal="100" workbookViewId="0">
      <pane xSplit="1" topLeftCell="B1" activePane="topRight" state="frozen"/>
      <selection pane="topRight" activeCell="N28" sqref="N1:N1048576"/>
    </sheetView>
  </sheetViews>
  <sheetFormatPr defaultColWidth="9.140625" defaultRowHeight="15" x14ac:dyDescent="0.25"/>
  <cols>
    <col min="1" max="1" width="20.85546875" style="5" customWidth="1"/>
    <col min="2" max="2" width="9" style="5" customWidth="1"/>
    <col min="3" max="3" width="9.140625" style="5" customWidth="1"/>
    <col min="4" max="4" width="8.7109375" style="5" customWidth="1"/>
    <col min="5" max="5" width="8.42578125" style="5" customWidth="1"/>
    <col min="6" max="6" width="11.85546875" style="5" customWidth="1"/>
    <col min="7" max="7" width="10.28515625" style="5" customWidth="1"/>
    <col min="8" max="8" width="22.7109375" style="5" customWidth="1"/>
    <col min="9" max="10" width="15.28515625" style="5" customWidth="1"/>
    <col min="11" max="11" width="16.5703125" style="5" customWidth="1"/>
    <col min="12" max="12" width="15" style="5" customWidth="1"/>
    <col min="13" max="13" width="18.5703125" style="5" customWidth="1"/>
    <col min="14" max="14" width="62.42578125" style="22" hidden="1" customWidth="1"/>
    <col min="15" max="16384" width="9.140625" style="5"/>
  </cols>
  <sheetData>
    <row r="1" spans="1:14" ht="18.75" x14ac:dyDescent="0.3">
      <c r="A1" s="10" t="s">
        <v>97</v>
      </c>
      <c r="B1" s="10"/>
      <c r="C1" s="10"/>
      <c r="N1" s="20"/>
    </row>
    <row r="2" spans="1:14" ht="15.75" x14ac:dyDescent="0.25">
      <c r="A2" s="11" t="s">
        <v>0</v>
      </c>
      <c r="B2" s="11"/>
      <c r="C2" s="11"/>
      <c r="D2" s="11"/>
      <c r="M2" s="8"/>
      <c r="N2" s="20"/>
    </row>
    <row r="3" spans="1:14" x14ac:dyDescent="0.25">
      <c r="A3" s="5" t="s">
        <v>47</v>
      </c>
      <c r="B3" s="1"/>
      <c r="N3" s="20"/>
    </row>
    <row r="4" spans="1:14" x14ac:dyDescent="0.25">
      <c r="A4" s="5" t="s">
        <v>98</v>
      </c>
      <c r="C4" s="1"/>
      <c r="D4" s="1"/>
    </row>
    <row r="5" spans="1:14" ht="15.75" thickBot="1" x14ac:dyDescent="0.3">
      <c r="C5" s="1"/>
      <c r="D5" s="1"/>
      <c r="M5" s="39"/>
      <c r="N5" s="36"/>
    </row>
    <row r="6" spans="1:14" ht="30.75" thickBot="1" x14ac:dyDescent="0.3">
      <c r="A6" s="23" t="s">
        <v>39</v>
      </c>
      <c r="B6" s="24" t="s">
        <v>1</v>
      </c>
      <c r="C6" s="24"/>
      <c r="D6" s="24" t="s">
        <v>28</v>
      </c>
      <c r="E6" s="24"/>
      <c r="F6" s="24" t="s">
        <v>2</v>
      </c>
      <c r="G6" s="24"/>
      <c r="H6" s="23" t="s">
        <v>43</v>
      </c>
      <c r="I6" s="23" t="s">
        <v>36</v>
      </c>
      <c r="J6" s="23" t="s">
        <v>37</v>
      </c>
      <c r="K6" s="25" t="s">
        <v>3</v>
      </c>
      <c r="L6" s="23" t="s">
        <v>44</v>
      </c>
      <c r="M6" s="25" t="s">
        <v>42</v>
      </c>
      <c r="N6" s="37" t="s">
        <v>51</v>
      </c>
    </row>
    <row r="7" spans="1:14" ht="33.75" customHeight="1" thickBot="1" x14ac:dyDescent="0.3">
      <c r="A7" s="26"/>
      <c r="B7" s="24" t="s">
        <v>4</v>
      </c>
      <c r="C7" s="24" t="s">
        <v>5</v>
      </c>
      <c r="D7" s="24" t="s">
        <v>6</v>
      </c>
      <c r="E7" s="24" t="s">
        <v>7</v>
      </c>
      <c r="F7" s="24" t="s">
        <v>6</v>
      </c>
      <c r="G7" s="24" t="s">
        <v>8</v>
      </c>
      <c r="H7" s="27" t="s">
        <v>124</v>
      </c>
      <c r="I7" s="26" t="s">
        <v>9</v>
      </c>
      <c r="J7" s="26" t="s">
        <v>38</v>
      </c>
      <c r="K7" s="27" t="s">
        <v>99</v>
      </c>
      <c r="L7" s="27" t="s">
        <v>99</v>
      </c>
      <c r="M7" s="27" t="s">
        <v>45</v>
      </c>
      <c r="N7" s="38"/>
    </row>
    <row r="8" spans="1:14" ht="42.75" customHeight="1" thickBot="1" x14ac:dyDescent="0.3">
      <c r="A8" s="40" t="s">
        <v>29</v>
      </c>
      <c r="B8" s="41"/>
      <c r="C8" s="41">
        <f>17.86*0.35</f>
        <v>6.2509999999999994</v>
      </c>
      <c r="D8" s="41">
        <f>8.5*0.35</f>
        <v>2.9749999999999996</v>
      </c>
      <c r="E8" s="42">
        <v>1000</v>
      </c>
      <c r="F8" s="41"/>
      <c r="G8" s="43"/>
      <c r="H8" s="41">
        <f>C8 +(D8*12)</f>
        <v>41.950999999999993</v>
      </c>
      <c r="I8" s="41">
        <v>17.86</v>
      </c>
      <c r="J8" s="41">
        <v>8.5</v>
      </c>
      <c r="K8" s="41">
        <f>8.5*12</f>
        <v>102</v>
      </c>
      <c r="L8" s="41">
        <f>I8+K8</f>
        <v>119.86</v>
      </c>
      <c r="M8" s="41">
        <f>H8+L8</f>
        <v>161.81099999999998</v>
      </c>
      <c r="N8" s="44" t="s">
        <v>114</v>
      </c>
    </row>
    <row r="9" spans="1:14" s="19" customFormat="1" ht="72.75" thickBot="1" x14ac:dyDescent="0.3">
      <c r="A9" s="45" t="s">
        <v>64</v>
      </c>
      <c r="B9" s="46"/>
      <c r="C9" s="46"/>
      <c r="D9" s="46">
        <v>3</v>
      </c>
      <c r="E9" s="47">
        <v>1000</v>
      </c>
      <c r="F9" s="46"/>
      <c r="G9" s="48"/>
      <c r="H9" s="46">
        <f>C9 +(D9*12)</f>
        <v>36</v>
      </c>
      <c r="I9" s="41">
        <v>17.86</v>
      </c>
      <c r="J9" s="41">
        <v>8.5</v>
      </c>
      <c r="K9" s="41">
        <f t="shared" ref="K9:K33" si="0">8.5*12</f>
        <v>102</v>
      </c>
      <c r="L9" s="41">
        <f t="shared" ref="L9:L33" si="1">I9+K9</f>
        <v>119.86</v>
      </c>
      <c r="M9" s="46">
        <f t="shared" ref="M9:M33" si="2">H9+L9</f>
        <v>155.86000000000001</v>
      </c>
      <c r="N9" s="49" t="s">
        <v>101</v>
      </c>
    </row>
    <row r="10" spans="1:14" s="18" customFormat="1" ht="72.75" thickBot="1" x14ac:dyDescent="0.3">
      <c r="A10" s="40" t="s">
        <v>59</v>
      </c>
      <c r="B10" s="41"/>
      <c r="C10" s="41"/>
      <c r="D10" s="41">
        <v>4.5</v>
      </c>
      <c r="E10" s="42">
        <v>1000</v>
      </c>
      <c r="F10" s="41"/>
      <c r="G10" s="43"/>
      <c r="H10" s="41">
        <f>C10+(D10*12)</f>
        <v>54</v>
      </c>
      <c r="I10" s="41">
        <v>17.86</v>
      </c>
      <c r="J10" s="41">
        <v>8.5</v>
      </c>
      <c r="K10" s="41">
        <f t="shared" si="0"/>
        <v>102</v>
      </c>
      <c r="L10" s="41">
        <f t="shared" si="1"/>
        <v>119.86</v>
      </c>
      <c r="M10" s="41">
        <f t="shared" si="2"/>
        <v>173.86</v>
      </c>
      <c r="N10" s="44" t="s">
        <v>102</v>
      </c>
    </row>
    <row r="11" spans="1:14" ht="72.75" thickBot="1" x14ac:dyDescent="0.3">
      <c r="A11" s="40" t="s">
        <v>57</v>
      </c>
      <c r="B11" s="41"/>
      <c r="C11" s="41"/>
      <c r="D11" s="41">
        <v>6</v>
      </c>
      <c r="E11" s="42">
        <v>1000</v>
      </c>
      <c r="F11" s="41"/>
      <c r="G11" s="43"/>
      <c r="H11" s="41">
        <f>C11 +(D11*12)</f>
        <v>72</v>
      </c>
      <c r="I11" s="41">
        <v>17.86</v>
      </c>
      <c r="J11" s="41">
        <v>8.5</v>
      </c>
      <c r="K11" s="41">
        <f t="shared" si="0"/>
        <v>102</v>
      </c>
      <c r="L11" s="41">
        <f t="shared" si="1"/>
        <v>119.86</v>
      </c>
      <c r="M11" s="41">
        <f t="shared" si="2"/>
        <v>191.86</v>
      </c>
      <c r="N11" s="44" t="s">
        <v>103</v>
      </c>
    </row>
    <row r="12" spans="1:14" s="18" customFormat="1" ht="52.5" customHeight="1" thickBot="1" x14ac:dyDescent="0.3">
      <c r="A12" s="40" t="s">
        <v>129</v>
      </c>
      <c r="B12" s="41"/>
      <c r="C12" s="41"/>
      <c r="D12" s="41">
        <f>87.6-17.86-(8.5*8)</f>
        <v>1.7399999999999949</v>
      </c>
      <c r="E12" s="42">
        <v>8000</v>
      </c>
      <c r="F12" s="41">
        <f>10.95-8.5</f>
        <v>2.4499999999999993</v>
      </c>
      <c r="G12" s="42">
        <v>8001</v>
      </c>
      <c r="H12" s="41">
        <f>(D12*8) +(F12*4)</f>
        <v>23.719999999999956</v>
      </c>
      <c r="I12" s="41">
        <v>17.86</v>
      </c>
      <c r="J12" s="41">
        <v>8.5</v>
      </c>
      <c r="K12" s="41">
        <f t="shared" si="0"/>
        <v>102</v>
      </c>
      <c r="L12" s="41">
        <f t="shared" si="1"/>
        <v>119.86</v>
      </c>
      <c r="M12" s="41">
        <f t="shared" si="2"/>
        <v>143.57999999999996</v>
      </c>
      <c r="N12" s="44" t="s">
        <v>128</v>
      </c>
    </row>
    <row r="13" spans="1:14" s="29" customFormat="1" ht="75" customHeight="1" thickBot="1" x14ac:dyDescent="0.3">
      <c r="A13" s="45" t="s">
        <v>30</v>
      </c>
      <c r="B13" s="46"/>
      <c r="C13" s="46">
        <f>17.86*0.5</f>
        <v>8.93</v>
      </c>
      <c r="D13" s="46">
        <f>8.5*0.5</f>
        <v>4.25</v>
      </c>
      <c r="E13" s="47">
        <v>1000</v>
      </c>
      <c r="F13" s="46"/>
      <c r="G13" s="47"/>
      <c r="H13" s="46">
        <f>C13 +(D13*12)</f>
        <v>59.93</v>
      </c>
      <c r="I13" s="41">
        <v>17.86</v>
      </c>
      <c r="J13" s="41">
        <v>8.5</v>
      </c>
      <c r="K13" s="41">
        <f t="shared" si="0"/>
        <v>102</v>
      </c>
      <c r="L13" s="41">
        <f t="shared" si="1"/>
        <v>119.86</v>
      </c>
      <c r="M13" s="46">
        <f t="shared" si="2"/>
        <v>179.79</v>
      </c>
      <c r="N13" s="49" t="s">
        <v>104</v>
      </c>
    </row>
    <row r="14" spans="1:14" s="18" customFormat="1" ht="78" customHeight="1" thickBot="1" x14ac:dyDescent="0.3">
      <c r="A14" s="40" t="s">
        <v>60</v>
      </c>
      <c r="B14" s="41"/>
      <c r="C14" s="41"/>
      <c r="D14" s="41">
        <v>4.7</v>
      </c>
      <c r="E14" s="42">
        <v>1000</v>
      </c>
      <c r="F14" s="41"/>
      <c r="G14" s="42"/>
      <c r="H14" s="41">
        <f>C14 +(D14*12)</f>
        <v>56.400000000000006</v>
      </c>
      <c r="I14" s="41">
        <v>17.86</v>
      </c>
      <c r="J14" s="41">
        <v>8.5</v>
      </c>
      <c r="K14" s="41">
        <f t="shared" si="0"/>
        <v>102</v>
      </c>
      <c r="L14" s="41">
        <f t="shared" si="1"/>
        <v>119.86</v>
      </c>
      <c r="M14" s="41">
        <f>H14+L14</f>
        <v>176.26</v>
      </c>
      <c r="N14" s="44" t="s">
        <v>105</v>
      </c>
    </row>
    <row r="15" spans="1:14" s="18" customFormat="1" ht="72.75" thickBot="1" x14ac:dyDescent="0.3">
      <c r="A15" s="40" t="s">
        <v>65</v>
      </c>
      <c r="B15" s="41"/>
      <c r="C15" s="41"/>
      <c r="D15" s="41">
        <v>4.75</v>
      </c>
      <c r="E15" s="42">
        <v>1000</v>
      </c>
      <c r="F15" s="41"/>
      <c r="G15" s="42"/>
      <c r="H15" s="41">
        <f>C15 +(D15*12)</f>
        <v>57</v>
      </c>
      <c r="I15" s="41">
        <v>17.86</v>
      </c>
      <c r="J15" s="41">
        <v>8.5</v>
      </c>
      <c r="K15" s="41">
        <f t="shared" si="0"/>
        <v>102</v>
      </c>
      <c r="L15" s="41">
        <f t="shared" si="1"/>
        <v>119.86</v>
      </c>
      <c r="M15" s="41">
        <f t="shared" si="2"/>
        <v>176.86</v>
      </c>
      <c r="N15" s="44" t="s">
        <v>116</v>
      </c>
    </row>
    <row r="16" spans="1:14" ht="111" customHeight="1" thickBot="1" x14ac:dyDescent="0.3">
      <c r="A16" s="40" t="s">
        <v>70</v>
      </c>
      <c r="B16" s="41"/>
      <c r="C16" s="41"/>
      <c r="D16" s="41">
        <f>12.75-8.5</f>
        <v>4.25</v>
      </c>
      <c r="E16" s="42">
        <v>1000</v>
      </c>
      <c r="F16" s="41"/>
      <c r="G16" s="42"/>
      <c r="H16" s="41">
        <f>C16 +(D16*12)</f>
        <v>51</v>
      </c>
      <c r="I16" s="41">
        <v>17.86</v>
      </c>
      <c r="J16" s="41">
        <v>8.5</v>
      </c>
      <c r="K16" s="41">
        <f t="shared" si="0"/>
        <v>102</v>
      </c>
      <c r="L16" s="41">
        <f t="shared" si="1"/>
        <v>119.86</v>
      </c>
      <c r="M16" s="41">
        <f t="shared" si="2"/>
        <v>170.86</v>
      </c>
      <c r="N16" s="44" t="s">
        <v>115</v>
      </c>
    </row>
    <row r="17" spans="1:14" ht="60.75" customHeight="1" thickBot="1" x14ac:dyDescent="0.3">
      <c r="A17" s="40" t="s">
        <v>62</v>
      </c>
      <c r="B17" s="41"/>
      <c r="C17" s="41"/>
      <c r="D17" s="41">
        <v>5.75</v>
      </c>
      <c r="E17" s="42">
        <v>1000</v>
      </c>
      <c r="F17" s="41"/>
      <c r="G17" s="42"/>
      <c r="H17" s="41">
        <f>C17 +(D17*12)</f>
        <v>69</v>
      </c>
      <c r="I17" s="41">
        <v>17.86</v>
      </c>
      <c r="J17" s="41">
        <v>8.5</v>
      </c>
      <c r="K17" s="41">
        <f t="shared" si="0"/>
        <v>102</v>
      </c>
      <c r="L17" s="41">
        <f t="shared" si="1"/>
        <v>119.86</v>
      </c>
      <c r="M17" s="41">
        <f t="shared" si="2"/>
        <v>188.86</v>
      </c>
      <c r="N17" s="44" t="s">
        <v>106</v>
      </c>
    </row>
    <row r="18" spans="1:14" ht="96.75" thickBot="1" x14ac:dyDescent="0.3">
      <c r="A18" s="40" t="s">
        <v>56</v>
      </c>
      <c r="B18" s="41"/>
      <c r="C18" s="41"/>
      <c r="D18" s="41">
        <f>156.9-119.86</f>
        <v>37.040000000000006</v>
      </c>
      <c r="E18" s="42"/>
      <c r="F18" s="41"/>
      <c r="G18" s="42"/>
      <c r="H18" s="41">
        <f>D18</f>
        <v>37.040000000000006</v>
      </c>
      <c r="I18" s="41">
        <v>17.86</v>
      </c>
      <c r="J18" s="41">
        <v>8.5</v>
      </c>
      <c r="K18" s="41">
        <f t="shared" si="0"/>
        <v>102</v>
      </c>
      <c r="L18" s="41">
        <f t="shared" si="1"/>
        <v>119.86</v>
      </c>
      <c r="M18" s="41">
        <f t="shared" si="2"/>
        <v>156.9</v>
      </c>
      <c r="N18" s="44" t="s">
        <v>117</v>
      </c>
    </row>
    <row r="19" spans="1:14" ht="75.75" customHeight="1" thickBot="1" x14ac:dyDescent="0.3">
      <c r="A19" s="40" t="s">
        <v>200</v>
      </c>
      <c r="B19" s="41"/>
      <c r="C19" s="41">
        <v>4.5</v>
      </c>
      <c r="D19" s="41">
        <f>91.8-17.86-(8.5*6)</f>
        <v>22.939999999999998</v>
      </c>
      <c r="E19" s="42">
        <v>6000</v>
      </c>
      <c r="F19" s="41">
        <f>15.3-8.5</f>
        <v>6.8000000000000007</v>
      </c>
      <c r="G19" s="42">
        <v>6001</v>
      </c>
      <c r="H19" s="41">
        <f>C19 +D19+(F19*6)</f>
        <v>68.240000000000009</v>
      </c>
      <c r="I19" s="41">
        <v>17.86</v>
      </c>
      <c r="J19" s="41">
        <v>8.5</v>
      </c>
      <c r="K19" s="41">
        <f t="shared" si="0"/>
        <v>102</v>
      </c>
      <c r="L19" s="41">
        <f t="shared" si="1"/>
        <v>119.86</v>
      </c>
      <c r="M19" s="41">
        <f>H19+L19</f>
        <v>188.10000000000002</v>
      </c>
      <c r="N19" s="44" t="s">
        <v>201</v>
      </c>
    </row>
    <row r="20" spans="1:14" s="18" customFormat="1" ht="116.25" customHeight="1" thickBot="1" x14ac:dyDescent="0.3">
      <c r="A20" s="40" t="s">
        <v>31</v>
      </c>
      <c r="B20" s="41"/>
      <c r="C20" s="41">
        <f>8.33*3-17.86</f>
        <v>7.1300000000000026</v>
      </c>
      <c r="D20" s="41">
        <f>20.04-8.5</f>
        <v>11.54</v>
      </c>
      <c r="E20" s="42">
        <v>1000</v>
      </c>
      <c r="F20" s="41"/>
      <c r="G20" s="42"/>
      <c r="H20" s="41">
        <f>C20 +(D20*12)</f>
        <v>145.60999999999999</v>
      </c>
      <c r="I20" s="41">
        <v>17.86</v>
      </c>
      <c r="J20" s="41">
        <v>8.5</v>
      </c>
      <c r="K20" s="41">
        <f t="shared" si="0"/>
        <v>102</v>
      </c>
      <c r="L20" s="41">
        <f t="shared" si="1"/>
        <v>119.86</v>
      </c>
      <c r="M20" s="41">
        <f t="shared" si="2"/>
        <v>265.46999999999997</v>
      </c>
      <c r="N20" s="44" t="s">
        <v>147</v>
      </c>
    </row>
    <row r="21" spans="1:14" ht="108.75" thickBot="1" x14ac:dyDescent="0.3">
      <c r="A21" s="40" t="s">
        <v>85</v>
      </c>
      <c r="B21" s="41"/>
      <c r="C21" s="50"/>
      <c r="D21" s="41">
        <f>91.73-(8.5*3)</f>
        <v>66.23</v>
      </c>
      <c r="E21" s="42">
        <v>3000</v>
      </c>
      <c r="F21" s="41">
        <f>8.92-8.5</f>
        <v>0.41999999999999993</v>
      </c>
      <c r="G21" s="42">
        <v>3001</v>
      </c>
      <c r="H21" s="41">
        <f>(D21)+(F21*9)</f>
        <v>70.010000000000005</v>
      </c>
      <c r="I21" s="41">
        <v>17.86</v>
      </c>
      <c r="J21" s="41">
        <v>8.5</v>
      </c>
      <c r="K21" s="41">
        <f t="shared" si="0"/>
        <v>102</v>
      </c>
      <c r="L21" s="41">
        <f t="shared" si="1"/>
        <v>119.86</v>
      </c>
      <c r="M21" s="41">
        <f t="shared" si="2"/>
        <v>189.87</v>
      </c>
      <c r="N21" s="44" t="s">
        <v>118</v>
      </c>
    </row>
    <row r="22" spans="1:14" ht="60.75" thickBot="1" x14ac:dyDescent="0.3">
      <c r="A22" s="40" t="s">
        <v>63</v>
      </c>
      <c r="B22" s="41">
        <v>0.83333999999999997</v>
      </c>
      <c r="C22" s="51"/>
      <c r="D22" s="41">
        <v>4.5</v>
      </c>
      <c r="E22" s="42">
        <v>1000</v>
      </c>
      <c r="F22" s="40"/>
      <c r="G22" s="42"/>
      <c r="H22" s="41">
        <f>(B22*3) +(D22*12)</f>
        <v>56.500019999999999</v>
      </c>
      <c r="I22" s="41">
        <v>17.86</v>
      </c>
      <c r="J22" s="41">
        <v>8.5</v>
      </c>
      <c r="K22" s="41">
        <f t="shared" si="0"/>
        <v>102</v>
      </c>
      <c r="L22" s="41">
        <f t="shared" si="1"/>
        <v>119.86</v>
      </c>
      <c r="M22" s="41">
        <f t="shared" si="2"/>
        <v>176.36001999999999</v>
      </c>
      <c r="N22" s="44" t="s">
        <v>107</v>
      </c>
    </row>
    <row r="23" spans="1:14" s="18" customFormat="1" ht="114" customHeight="1" thickBot="1" x14ac:dyDescent="0.3">
      <c r="A23" s="52" t="s">
        <v>11</v>
      </c>
      <c r="B23" s="41"/>
      <c r="C23" s="41"/>
      <c r="D23" s="41">
        <f>8.28*3</f>
        <v>24.839999999999996</v>
      </c>
      <c r="E23" s="42">
        <v>3000</v>
      </c>
      <c r="F23" s="41">
        <v>7.43</v>
      </c>
      <c r="G23" s="42">
        <v>3001</v>
      </c>
      <c r="H23" s="41">
        <f>D23+(F23*9)</f>
        <v>91.710000000000008</v>
      </c>
      <c r="I23" s="41">
        <v>17.86</v>
      </c>
      <c r="J23" s="41">
        <v>8.5</v>
      </c>
      <c r="K23" s="41">
        <f t="shared" si="0"/>
        <v>102</v>
      </c>
      <c r="L23" s="41">
        <f t="shared" si="1"/>
        <v>119.86</v>
      </c>
      <c r="M23" s="41">
        <f t="shared" si="2"/>
        <v>211.57</v>
      </c>
      <c r="N23" s="53" t="s">
        <v>146</v>
      </c>
    </row>
    <row r="24" spans="1:14" s="18" customFormat="1" ht="112.5" customHeight="1" thickBot="1" x14ac:dyDescent="0.3">
      <c r="A24" s="40" t="s">
        <v>212</v>
      </c>
      <c r="B24" s="41"/>
      <c r="C24" s="41"/>
      <c r="D24" s="41">
        <v>32.200000000000003</v>
      </c>
      <c r="E24" s="42">
        <v>1870</v>
      </c>
      <c r="F24" s="54">
        <v>5.62</v>
      </c>
      <c r="G24" s="42">
        <v>6390</v>
      </c>
      <c r="H24" s="41">
        <f>D24*3 + (F24*6.39)</f>
        <v>132.51179999999999</v>
      </c>
      <c r="I24" s="41">
        <v>17.86</v>
      </c>
      <c r="J24" s="41">
        <v>8.5</v>
      </c>
      <c r="K24" s="41">
        <f t="shared" si="0"/>
        <v>102</v>
      </c>
      <c r="L24" s="41">
        <f t="shared" si="1"/>
        <v>119.86</v>
      </c>
      <c r="M24" s="41">
        <f>H24+L24-L24</f>
        <v>132.51179999999999</v>
      </c>
      <c r="N24" s="44" t="s">
        <v>119</v>
      </c>
    </row>
    <row r="25" spans="1:14" ht="101.25" customHeight="1" thickBot="1" x14ac:dyDescent="0.3">
      <c r="A25" s="40" t="s">
        <v>32</v>
      </c>
      <c r="B25" s="41"/>
      <c r="C25" s="41">
        <f>(17.86*0.3)</f>
        <v>5.3579999999999997</v>
      </c>
      <c r="D25" s="41">
        <f>8.5*0.3</f>
        <v>2.5499999999999998</v>
      </c>
      <c r="E25" s="42">
        <v>1000</v>
      </c>
      <c r="F25" s="40"/>
      <c r="G25" s="42"/>
      <c r="H25" s="41">
        <f>C25 +(D25*12)</f>
        <v>35.957999999999998</v>
      </c>
      <c r="I25" s="41">
        <v>17.86</v>
      </c>
      <c r="J25" s="41">
        <v>8.5</v>
      </c>
      <c r="K25" s="41">
        <f t="shared" si="0"/>
        <v>102</v>
      </c>
      <c r="L25" s="41">
        <f t="shared" si="1"/>
        <v>119.86</v>
      </c>
      <c r="M25" s="41">
        <f t="shared" si="2"/>
        <v>155.81799999999998</v>
      </c>
      <c r="N25" s="44" t="s">
        <v>108</v>
      </c>
    </row>
    <row r="26" spans="1:14" s="29" customFormat="1" ht="75" customHeight="1" thickBot="1" x14ac:dyDescent="0.3">
      <c r="A26" s="45" t="s">
        <v>58</v>
      </c>
      <c r="B26" s="46" t="s">
        <v>10</v>
      </c>
      <c r="C26" s="46"/>
      <c r="D26" s="46">
        <v>3.5</v>
      </c>
      <c r="E26" s="47">
        <v>1000</v>
      </c>
      <c r="F26" s="55"/>
      <c r="G26" s="47"/>
      <c r="H26" s="46">
        <f>D26*12</f>
        <v>42</v>
      </c>
      <c r="I26" s="41">
        <v>17.86</v>
      </c>
      <c r="J26" s="41">
        <v>8.5</v>
      </c>
      <c r="K26" s="41">
        <f t="shared" si="0"/>
        <v>102</v>
      </c>
      <c r="L26" s="41">
        <f t="shared" si="1"/>
        <v>119.86</v>
      </c>
      <c r="M26" s="46">
        <f t="shared" si="2"/>
        <v>161.86000000000001</v>
      </c>
      <c r="N26" s="49" t="s">
        <v>109</v>
      </c>
    </row>
    <row r="27" spans="1:14" s="31" customFormat="1" ht="84.75" thickBot="1" x14ac:dyDescent="0.3">
      <c r="A27" s="56" t="s">
        <v>71</v>
      </c>
      <c r="B27" s="56"/>
      <c r="C27" s="41">
        <v>18</v>
      </c>
      <c r="D27" s="41">
        <f>6*6</f>
        <v>36</v>
      </c>
      <c r="E27" s="56">
        <v>6000</v>
      </c>
      <c r="F27" s="57">
        <v>6</v>
      </c>
      <c r="G27" s="56">
        <v>6001</v>
      </c>
      <c r="H27" s="41">
        <f>C27+ D27+(F27*6)</f>
        <v>90</v>
      </c>
      <c r="I27" s="41">
        <v>17.86</v>
      </c>
      <c r="J27" s="41">
        <v>8.5</v>
      </c>
      <c r="K27" s="41">
        <f t="shared" si="0"/>
        <v>102</v>
      </c>
      <c r="L27" s="56">
        <f t="shared" si="1"/>
        <v>119.86</v>
      </c>
      <c r="M27" s="58">
        <f t="shared" si="2"/>
        <v>209.86</v>
      </c>
      <c r="N27" s="59" t="s">
        <v>120</v>
      </c>
    </row>
    <row r="28" spans="1:14" s="30" customFormat="1" ht="81.75" customHeight="1" thickBot="1" x14ac:dyDescent="0.3">
      <c r="A28" s="60" t="s">
        <v>66</v>
      </c>
      <c r="B28" s="60"/>
      <c r="C28" s="60"/>
      <c r="D28" s="60">
        <v>2.5</v>
      </c>
      <c r="E28" s="61">
        <v>1000</v>
      </c>
      <c r="F28" s="60"/>
      <c r="G28" s="60"/>
      <c r="H28" s="62">
        <f>C28 +(D28*12)</f>
        <v>30</v>
      </c>
      <c r="I28" s="41">
        <v>17.86</v>
      </c>
      <c r="J28" s="41">
        <v>8.5</v>
      </c>
      <c r="K28" s="41">
        <f t="shared" si="0"/>
        <v>102</v>
      </c>
      <c r="L28" s="62">
        <f t="shared" si="1"/>
        <v>119.86</v>
      </c>
      <c r="M28" s="62">
        <f t="shared" si="2"/>
        <v>149.86000000000001</v>
      </c>
      <c r="N28" s="63" t="s">
        <v>110</v>
      </c>
    </row>
    <row r="29" spans="1:14" ht="123.75" customHeight="1" thickBot="1" x14ac:dyDescent="0.3">
      <c r="A29" s="40" t="s">
        <v>24</v>
      </c>
      <c r="B29" s="41"/>
      <c r="C29" s="41">
        <f>23.54-17.86</f>
        <v>5.68</v>
      </c>
      <c r="D29" s="41">
        <f>11.77-8.5</f>
        <v>3.2699999999999996</v>
      </c>
      <c r="E29" s="42">
        <v>1000</v>
      </c>
      <c r="F29" s="41"/>
      <c r="G29" s="42"/>
      <c r="H29" s="41">
        <f>C29 +(D29*12)</f>
        <v>44.919999999999995</v>
      </c>
      <c r="I29" s="41">
        <v>17.86</v>
      </c>
      <c r="J29" s="41">
        <v>8.5</v>
      </c>
      <c r="K29" s="41">
        <f t="shared" si="0"/>
        <v>102</v>
      </c>
      <c r="L29" s="41">
        <f t="shared" si="1"/>
        <v>119.86</v>
      </c>
      <c r="M29" s="41">
        <f t="shared" si="2"/>
        <v>164.78</v>
      </c>
      <c r="N29" s="44" t="s">
        <v>121</v>
      </c>
    </row>
    <row r="30" spans="1:14" ht="107.25" customHeight="1" thickBot="1" x14ac:dyDescent="0.3">
      <c r="A30" s="40" t="s">
        <v>20</v>
      </c>
      <c r="B30" s="41"/>
      <c r="C30" s="41"/>
      <c r="D30" s="41">
        <f>132.67-17.86-(8.5*10)</f>
        <v>29.809999999999988</v>
      </c>
      <c r="E30" s="42">
        <v>10000</v>
      </c>
      <c r="F30" s="41">
        <v>1.5</v>
      </c>
      <c r="G30" s="42">
        <v>10001</v>
      </c>
      <c r="H30" s="41">
        <f>D30+(F30*2)</f>
        <v>32.809999999999988</v>
      </c>
      <c r="I30" s="41">
        <v>17.86</v>
      </c>
      <c r="J30" s="41">
        <v>8.5</v>
      </c>
      <c r="K30" s="41">
        <f t="shared" si="0"/>
        <v>102</v>
      </c>
      <c r="L30" s="41">
        <f t="shared" si="1"/>
        <v>119.86</v>
      </c>
      <c r="M30" s="41">
        <f t="shared" si="2"/>
        <v>152.66999999999999</v>
      </c>
      <c r="N30" s="44" t="s">
        <v>122</v>
      </c>
    </row>
    <row r="31" spans="1:14" ht="88.5" customHeight="1" thickBot="1" x14ac:dyDescent="0.3">
      <c r="A31" s="40" t="s">
        <v>61</v>
      </c>
      <c r="B31" s="41"/>
      <c r="C31" s="41"/>
      <c r="D31" s="41">
        <v>5</v>
      </c>
      <c r="E31" s="42">
        <v>1000</v>
      </c>
      <c r="F31" s="41">
        <v>2.5</v>
      </c>
      <c r="G31" s="42">
        <v>2001</v>
      </c>
      <c r="H31" s="41">
        <f>C31 +D31 +(F31*11)</f>
        <v>32.5</v>
      </c>
      <c r="I31" s="41">
        <v>17.86</v>
      </c>
      <c r="J31" s="41">
        <v>8.5</v>
      </c>
      <c r="K31" s="41">
        <f t="shared" si="0"/>
        <v>102</v>
      </c>
      <c r="L31" s="41">
        <f t="shared" si="1"/>
        <v>119.86</v>
      </c>
      <c r="M31" s="41">
        <f t="shared" si="2"/>
        <v>152.36000000000001</v>
      </c>
      <c r="N31" s="44" t="s">
        <v>111</v>
      </c>
    </row>
    <row r="32" spans="1:14" ht="78" customHeight="1" thickBot="1" x14ac:dyDescent="0.3">
      <c r="A32" s="40" t="s">
        <v>34</v>
      </c>
      <c r="B32" s="41"/>
      <c r="C32" s="41"/>
      <c r="D32" s="41">
        <v>1.75</v>
      </c>
      <c r="E32" s="42">
        <v>1000</v>
      </c>
      <c r="F32" s="40"/>
      <c r="G32" s="42"/>
      <c r="H32" s="41">
        <f>C32 +(D32*12)</f>
        <v>21</v>
      </c>
      <c r="I32" s="41">
        <v>17.86</v>
      </c>
      <c r="J32" s="41">
        <v>8.5</v>
      </c>
      <c r="K32" s="41">
        <f t="shared" si="0"/>
        <v>102</v>
      </c>
      <c r="L32" s="41">
        <f t="shared" si="1"/>
        <v>119.86</v>
      </c>
      <c r="M32" s="41">
        <f t="shared" si="2"/>
        <v>140.86000000000001</v>
      </c>
      <c r="N32" s="44" t="s">
        <v>112</v>
      </c>
    </row>
    <row r="33" spans="1:14" ht="71.25" customHeight="1" thickBot="1" x14ac:dyDescent="0.3">
      <c r="A33" s="40" t="s">
        <v>67</v>
      </c>
      <c r="B33" s="41"/>
      <c r="C33" s="41"/>
      <c r="D33" s="41">
        <v>3</v>
      </c>
      <c r="E33" s="42">
        <v>1000</v>
      </c>
      <c r="F33" s="40"/>
      <c r="G33" s="42"/>
      <c r="H33" s="41">
        <f>C33 +(D33*12)</f>
        <v>36</v>
      </c>
      <c r="I33" s="41">
        <v>17.86</v>
      </c>
      <c r="J33" s="41">
        <v>8.5</v>
      </c>
      <c r="K33" s="41">
        <f t="shared" si="0"/>
        <v>102</v>
      </c>
      <c r="L33" s="41">
        <f t="shared" si="1"/>
        <v>119.86</v>
      </c>
      <c r="M33" s="41">
        <f t="shared" si="2"/>
        <v>155.86000000000001</v>
      </c>
      <c r="N33" s="44" t="s">
        <v>113</v>
      </c>
    </row>
    <row r="34" spans="1:14" x14ac:dyDescent="0.25">
      <c r="A34" s="7"/>
      <c r="B34" s="7"/>
      <c r="C34" s="7"/>
      <c r="D34" s="7"/>
      <c r="E34" s="7"/>
      <c r="F34" s="7"/>
      <c r="G34" s="7"/>
      <c r="H34" s="7"/>
      <c r="I34" s="7"/>
      <c r="J34" s="7"/>
      <c r="K34" s="7"/>
      <c r="L34" s="7"/>
      <c r="M34" s="7"/>
      <c r="N34" s="20"/>
    </row>
    <row r="35" spans="1:14" ht="60" x14ac:dyDescent="0.25">
      <c r="A35" s="12" t="s">
        <v>12</v>
      </c>
      <c r="B35" s="7" t="s">
        <v>46</v>
      </c>
      <c r="C35" s="7"/>
      <c r="D35" s="7"/>
      <c r="E35" s="7"/>
      <c r="F35" s="7"/>
      <c r="G35" s="7"/>
      <c r="H35" s="7"/>
      <c r="I35" s="7"/>
      <c r="J35" s="7"/>
      <c r="K35" s="7"/>
      <c r="L35" s="7"/>
      <c r="M35" s="7"/>
      <c r="N35" s="20" t="s">
        <v>96</v>
      </c>
    </row>
    <row r="36" spans="1:14" x14ac:dyDescent="0.25">
      <c r="A36" s="7"/>
      <c r="B36" s="7"/>
      <c r="C36" s="7"/>
      <c r="D36" s="7"/>
      <c r="E36" s="7"/>
      <c r="F36" s="7"/>
      <c r="G36" s="7"/>
      <c r="H36" s="7"/>
      <c r="I36" s="7"/>
      <c r="J36" s="7"/>
      <c r="K36" s="7"/>
      <c r="L36" s="7"/>
      <c r="M36" s="7"/>
      <c r="N36" s="20"/>
    </row>
    <row r="37" spans="1:14" x14ac:dyDescent="0.25">
      <c r="A37" s="7"/>
      <c r="B37" s="7" t="s">
        <v>33</v>
      </c>
      <c r="C37" s="7"/>
      <c r="D37" s="7"/>
      <c r="E37" s="7"/>
      <c r="F37" s="7"/>
      <c r="G37" s="7"/>
      <c r="H37" s="7"/>
      <c r="I37" s="7"/>
      <c r="J37" s="7"/>
      <c r="K37" s="7"/>
      <c r="L37" s="7"/>
      <c r="M37" s="7"/>
      <c r="N37" s="21"/>
    </row>
    <row r="38" spans="1:14" x14ac:dyDescent="0.25">
      <c r="A38" s="7"/>
      <c r="B38" s="7"/>
      <c r="C38" s="7"/>
      <c r="D38" s="7"/>
      <c r="E38" s="7"/>
      <c r="F38" s="7"/>
      <c r="G38" s="7"/>
      <c r="H38" s="7"/>
      <c r="I38" s="7"/>
      <c r="J38" s="7"/>
      <c r="K38" s="7"/>
      <c r="L38" s="7"/>
      <c r="M38" s="7"/>
      <c r="N38" s="20"/>
    </row>
    <row r="39" spans="1:14" x14ac:dyDescent="0.25">
      <c r="B39" s="5" t="s">
        <v>100</v>
      </c>
    </row>
    <row r="41" spans="1:14" x14ac:dyDescent="0.25">
      <c r="B41" s="35"/>
    </row>
  </sheetData>
  <sheetProtection formatCells="0" formatColumns="0" formatRows="0"/>
  <pageMargins left="0.7" right="0.7" top="0.75" bottom="0.75" header="0.3" footer="0.3"/>
  <pageSetup paperSize="17" scale="4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8"/>
  <sheetViews>
    <sheetView zoomScaleNormal="100" workbookViewId="0">
      <pane xSplit="1" topLeftCell="B1" activePane="topRight" state="frozen"/>
      <selection activeCell="A37" sqref="A37"/>
      <selection pane="topRight" activeCell="N1" sqref="N1:N1048576"/>
    </sheetView>
  </sheetViews>
  <sheetFormatPr defaultColWidth="9.140625" defaultRowHeight="15" x14ac:dyDescent="0.25"/>
  <cols>
    <col min="1" max="1" width="27.7109375" style="5" customWidth="1"/>
    <col min="2" max="2" width="11.5703125" style="5" customWidth="1"/>
    <col min="3" max="3" width="9.28515625" style="5" customWidth="1"/>
    <col min="4" max="5" width="9" style="5" customWidth="1"/>
    <col min="6" max="6" width="6.42578125" style="5" customWidth="1"/>
    <col min="7" max="7" width="8" style="5" customWidth="1"/>
    <col min="8" max="8" width="19.85546875" style="5" customWidth="1"/>
    <col min="9" max="9" width="12.85546875" style="5" customWidth="1"/>
    <col min="10" max="10" width="11.7109375" style="5" customWidth="1"/>
    <col min="11" max="11" width="16.5703125" style="5" customWidth="1"/>
    <col min="12" max="12" width="17" style="5" customWidth="1"/>
    <col min="13" max="13" width="17.28515625" style="5" customWidth="1"/>
    <col min="14" max="14" width="63" style="8" hidden="1" customWidth="1"/>
    <col min="15" max="16384" width="9.140625" style="5"/>
  </cols>
  <sheetData>
    <row r="1" spans="1:14" ht="18.75" x14ac:dyDescent="0.3">
      <c r="A1" s="10" t="s">
        <v>97</v>
      </c>
    </row>
    <row r="2" spans="1:14" ht="15.75" x14ac:dyDescent="0.25">
      <c r="A2" s="11" t="s">
        <v>15</v>
      </c>
      <c r="C2" s="1"/>
    </row>
    <row r="3" spans="1:14" x14ac:dyDescent="0.25">
      <c r="A3" s="5" t="s">
        <v>47</v>
      </c>
      <c r="B3" s="1"/>
    </row>
    <row r="4" spans="1:14" x14ac:dyDescent="0.25">
      <c r="A4" s="5" t="s">
        <v>98</v>
      </c>
      <c r="C4" s="1"/>
      <c r="D4" s="1"/>
    </row>
    <row r="5" spans="1:14" ht="15.75" thickBot="1" x14ac:dyDescent="0.3">
      <c r="C5" s="1"/>
      <c r="D5" s="1"/>
    </row>
    <row r="6" spans="1:14" ht="45.75" customHeight="1" thickBot="1" x14ac:dyDescent="0.3">
      <c r="A6" s="23" t="s">
        <v>40</v>
      </c>
      <c r="B6" s="24" t="s">
        <v>41</v>
      </c>
      <c r="C6" s="24"/>
      <c r="D6" s="24" t="s">
        <v>28</v>
      </c>
      <c r="E6" s="24"/>
      <c r="F6" s="24" t="s">
        <v>2</v>
      </c>
      <c r="G6" s="24"/>
      <c r="H6" s="23" t="s">
        <v>43</v>
      </c>
      <c r="I6" s="23" t="s">
        <v>36</v>
      </c>
      <c r="J6" s="23" t="s">
        <v>37</v>
      </c>
      <c r="K6" s="23" t="s">
        <v>3</v>
      </c>
      <c r="L6" s="23" t="s">
        <v>44</v>
      </c>
      <c r="M6" s="23" t="s">
        <v>49</v>
      </c>
      <c r="N6" s="23" t="s">
        <v>51</v>
      </c>
    </row>
    <row r="7" spans="1:14" ht="30.75" thickBot="1" x14ac:dyDescent="0.3">
      <c r="A7" s="26"/>
      <c r="B7" s="24" t="s">
        <v>4</v>
      </c>
      <c r="C7" s="24" t="s">
        <v>5</v>
      </c>
      <c r="D7" s="24" t="s">
        <v>6</v>
      </c>
      <c r="E7" s="24" t="s">
        <v>7</v>
      </c>
      <c r="F7" s="24" t="s">
        <v>6</v>
      </c>
      <c r="G7" s="24" t="s">
        <v>8</v>
      </c>
      <c r="H7" s="27" t="s">
        <v>124</v>
      </c>
      <c r="I7" s="27" t="s">
        <v>9</v>
      </c>
      <c r="J7" s="27" t="s">
        <v>38</v>
      </c>
      <c r="K7" s="27" t="s">
        <v>99</v>
      </c>
      <c r="L7" s="27" t="s">
        <v>99</v>
      </c>
      <c r="M7" s="27" t="s">
        <v>99</v>
      </c>
      <c r="N7" s="28"/>
    </row>
    <row r="8" spans="1:14" s="18" customFormat="1" ht="90.75" customHeight="1" thickBot="1" x14ac:dyDescent="0.3">
      <c r="A8" s="64" t="s">
        <v>154</v>
      </c>
      <c r="B8" s="41">
        <f>14.75-(17.86/3)</f>
        <v>8.7966666666666669</v>
      </c>
      <c r="C8" s="41"/>
      <c r="D8" s="41">
        <f>12.52-8.5</f>
        <v>4.0199999999999996</v>
      </c>
      <c r="E8" s="42">
        <v>1000</v>
      </c>
      <c r="F8" s="41"/>
      <c r="G8" s="42"/>
      <c r="H8" s="41">
        <f>(B8*3)+(D8*12)</f>
        <v>74.63</v>
      </c>
      <c r="I8" s="41">
        <v>17.86</v>
      </c>
      <c r="J8" s="41">
        <v>8.5</v>
      </c>
      <c r="K8" s="41">
        <f>8.5*12</f>
        <v>102</v>
      </c>
      <c r="L8" s="41">
        <f>I8+K8</f>
        <v>119.86</v>
      </c>
      <c r="M8" s="41">
        <f>H8+L8</f>
        <v>194.49</v>
      </c>
      <c r="N8" s="65" t="s">
        <v>153</v>
      </c>
    </row>
    <row r="9" spans="1:14" ht="51" customHeight="1" thickBot="1" x14ac:dyDescent="0.3">
      <c r="A9" s="52" t="s">
        <v>183</v>
      </c>
      <c r="B9" s="41"/>
      <c r="C9" s="41"/>
      <c r="D9" s="41">
        <f>14-8.5</f>
        <v>5.5</v>
      </c>
      <c r="E9" s="42">
        <v>1000</v>
      </c>
      <c r="F9" s="41"/>
      <c r="G9" s="42"/>
      <c r="H9" s="41">
        <f>(B9*3)+(D9*12)</f>
        <v>66</v>
      </c>
      <c r="I9" s="41">
        <v>17.86</v>
      </c>
      <c r="J9" s="41">
        <v>8.5</v>
      </c>
      <c r="K9" s="41">
        <f t="shared" ref="K9:K43" si="0">8.5*12</f>
        <v>102</v>
      </c>
      <c r="L9" s="41">
        <f t="shared" ref="L9:L35" si="1">I9+K9</f>
        <v>119.86</v>
      </c>
      <c r="M9" s="41">
        <f t="shared" ref="M9:M43" si="2">H9+L9</f>
        <v>185.86</v>
      </c>
      <c r="N9" s="65" t="s">
        <v>188</v>
      </c>
    </row>
    <row r="10" spans="1:14" ht="87" customHeight="1" thickBot="1" x14ac:dyDescent="0.3">
      <c r="A10" s="52" t="s">
        <v>53</v>
      </c>
      <c r="B10" s="41">
        <f>15-(17.86/3)</f>
        <v>9.0466666666666669</v>
      </c>
      <c r="C10" s="41" t="s">
        <v>10</v>
      </c>
      <c r="D10" s="41">
        <f>9-8.5</f>
        <v>0.5</v>
      </c>
      <c r="E10" s="42">
        <v>1000</v>
      </c>
      <c r="F10" s="41"/>
      <c r="G10" s="42"/>
      <c r="H10" s="41">
        <f>(B10*3)+(D10*12)</f>
        <v>33.14</v>
      </c>
      <c r="I10" s="41">
        <v>17.86</v>
      </c>
      <c r="J10" s="41">
        <v>8.5</v>
      </c>
      <c r="K10" s="41">
        <f t="shared" si="0"/>
        <v>102</v>
      </c>
      <c r="L10" s="41">
        <f t="shared" si="1"/>
        <v>119.86</v>
      </c>
      <c r="M10" s="41">
        <f>H10+L10</f>
        <v>153</v>
      </c>
      <c r="N10" s="65" t="s">
        <v>171</v>
      </c>
    </row>
    <row r="11" spans="1:14" ht="105.75" customHeight="1" thickBot="1" x14ac:dyDescent="0.3">
      <c r="A11" s="52" t="s">
        <v>74</v>
      </c>
      <c r="B11" s="41">
        <f>10.52-5.95</f>
        <v>4.5699999999999994</v>
      </c>
      <c r="C11" s="41"/>
      <c r="D11" s="41">
        <f>17.41-8.5</f>
        <v>8.91</v>
      </c>
      <c r="E11" s="42">
        <v>1000</v>
      </c>
      <c r="F11" s="41"/>
      <c r="G11" s="42"/>
      <c r="H11" s="41">
        <f>(B11*3)+(D11*12)</f>
        <v>120.63</v>
      </c>
      <c r="I11" s="41">
        <v>17.86</v>
      </c>
      <c r="J11" s="41">
        <v>8.5</v>
      </c>
      <c r="K11" s="41">
        <f t="shared" si="0"/>
        <v>102</v>
      </c>
      <c r="L11" s="41">
        <f t="shared" si="1"/>
        <v>119.86</v>
      </c>
      <c r="M11" s="41">
        <f t="shared" si="2"/>
        <v>240.49</v>
      </c>
      <c r="N11" s="65" t="s">
        <v>163</v>
      </c>
    </row>
    <row r="12" spans="1:14" ht="90.75" customHeight="1" thickBot="1" x14ac:dyDescent="0.3">
      <c r="A12" s="52" t="s">
        <v>79</v>
      </c>
      <c r="B12" s="41"/>
      <c r="C12" s="41" t="s">
        <v>10</v>
      </c>
      <c r="D12" s="41">
        <f>14.73-8.5</f>
        <v>6.23</v>
      </c>
      <c r="E12" s="42">
        <v>1000</v>
      </c>
      <c r="F12" s="41"/>
      <c r="G12" s="42"/>
      <c r="H12" s="41">
        <f>(B12*3)+(D12*12)</f>
        <v>74.760000000000005</v>
      </c>
      <c r="I12" s="41">
        <v>17.86</v>
      </c>
      <c r="J12" s="41">
        <v>8.5</v>
      </c>
      <c r="K12" s="41">
        <f t="shared" si="0"/>
        <v>102</v>
      </c>
      <c r="L12" s="41">
        <f t="shared" si="1"/>
        <v>119.86</v>
      </c>
      <c r="M12" s="41">
        <f t="shared" si="2"/>
        <v>194.62</v>
      </c>
      <c r="N12" s="65" t="s">
        <v>155</v>
      </c>
    </row>
    <row r="13" spans="1:14" ht="93" customHeight="1" thickBot="1" x14ac:dyDescent="0.3">
      <c r="A13" s="52" t="s">
        <v>185</v>
      </c>
      <c r="B13" s="41"/>
      <c r="C13" s="41"/>
      <c r="D13" s="41">
        <f>14.8-8.5</f>
        <v>6.3000000000000007</v>
      </c>
      <c r="E13" s="42">
        <v>1000</v>
      </c>
      <c r="F13" s="41"/>
      <c r="G13" s="42"/>
      <c r="H13" s="41">
        <f t="shared" ref="H13:H19" si="3">(B13*3)+(D13*12)</f>
        <v>75.600000000000009</v>
      </c>
      <c r="I13" s="41">
        <v>17.86</v>
      </c>
      <c r="J13" s="41">
        <v>8.5</v>
      </c>
      <c r="K13" s="41">
        <f t="shared" si="0"/>
        <v>102</v>
      </c>
      <c r="L13" s="41">
        <f t="shared" si="1"/>
        <v>119.86</v>
      </c>
      <c r="M13" s="41">
        <f t="shared" si="2"/>
        <v>195.46</v>
      </c>
      <c r="N13" s="65" t="s">
        <v>187</v>
      </c>
    </row>
    <row r="14" spans="1:14" ht="101.25" customHeight="1" thickBot="1" x14ac:dyDescent="0.3">
      <c r="A14" s="70" t="s">
        <v>23</v>
      </c>
      <c r="B14" s="67"/>
      <c r="C14" s="67" t="s">
        <v>10</v>
      </c>
      <c r="D14" s="67">
        <v>7.55</v>
      </c>
      <c r="E14" s="68">
        <v>1000</v>
      </c>
      <c r="F14" s="67"/>
      <c r="G14" s="68"/>
      <c r="H14" s="67">
        <f t="shared" si="3"/>
        <v>90.6</v>
      </c>
      <c r="I14" s="67">
        <v>17.86</v>
      </c>
      <c r="J14" s="67">
        <v>8.5</v>
      </c>
      <c r="K14" s="67">
        <f t="shared" si="0"/>
        <v>102</v>
      </c>
      <c r="L14" s="67">
        <f t="shared" si="1"/>
        <v>119.86</v>
      </c>
      <c r="M14" s="67">
        <f t="shared" si="2"/>
        <v>210.45999999999998</v>
      </c>
      <c r="N14" s="71" t="s">
        <v>211</v>
      </c>
    </row>
    <row r="15" spans="1:14" ht="51.75" customHeight="1" thickBot="1" x14ac:dyDescent="0.3">
      <c r="A15" s="52" t="s">
        <v>50</v>
      </c>
      <c r="B15" s="41">
        <f>6.2-(17.86/3)</f>
        <v>0.24666666666666703</v>
      </c>
      <c r="C15" s="40"/>
      <c r="D15" s="41">
        <f>12.65-8.5</f>
        <v>4.1500000000000004</v>
      </c>
      <c r="E15" s="42">
        <v>1000</v>
      </c>
      <c r="F15" s="41"/>
      <c r="G15" s="42"/>
      <c r="H15" s="41">
        <f t="shared" si="3"/>
        <v>50.540000000000006</v>
      </c>
      <c r="I15" s="41">
        <v>17.86</v>
      </c>
      <c r="J15" s="41">
        <v>8.5</v>
      </c>
      <c r="K15" s="41">
        <f t="shared" si="0"/>
        <v>102</v>
      </c>
      <c r="L15" s="41">
        <f t="shared" si="1"/>
        <v>119.86</v>
      </c>
      <c r="M15" s="41">
        <f t="shared" si="2"/>
        <v>170.4</v>
      </c>
      <c r="N15" s="65" t="s">
        <v>156</v>
      </c>
    </row>
    <row r="16" spans="1:14" ht="62.25" customHeight="1" thickBot="1" x14ac:dyDescent="0.3">
      <c r="A16" s="52" t="s">
        <v>80</v>
      </c>
      <c r="B16" s="41">
        <v>2.25</v>
      </c>
      <c r="C16" s="41" t="s">
        <v>10</v>
      </c>
      <c r="D16" s="41">
        <v>8.4</v>
      </c>
      <c r="E16" s="42">
        <v>1000</v>
      </c>
      <c r="F16" s="41"/>
      <c r="G16" s="42"/>
      <c r="H16" s="41">
        <f t="shared" si="3"/>
        <v>107.55000000000001</v>
      </c>
      <c r="I16" s="41">
        <v>17.86</v>
      </c>
      <c r="J16" s="41">
        <v>8.5</v>
      </c>
      <c r="K16" s="41">
        <f t="shared" si="0"/>
        <v>102</v>
      </c>
      <c r="L16" s="41">
        <f t="shared" si="1"/>
        <v>119.86</v>
      </c>
      <c r="M16" s="41">
        <f t="shared" si="2"/>
        <v>227.41000000000003</v>
      </c>
      <c r="N16" s="65" t="s">
        <v>162</v>
      </c>
    </row>
    <row r="17" spans="1:14" ht="47.25" customHeight="1" thickBot="1" x14ac:dyDescent="0.3">
      <c r="A17" s="52" t="s">
        <v>90</v>
      </c>
      <c r="B17" s="41"/>
      <c r="C17" s="41" t="s">
        <v>10</v>
      </c>
      <c r="D17" s="41">
        <f>13-8.5</f>
        <v>4.5</v>
      </c>
      <c r="E17" s="42">
        <v>1000</v>
      </c>
      <c r="F17" s="41"/>
      <c r="G17" s="42"/>
      <c r="H17" s="41">
        <f t="shared" si="3"/>
        <v>54</v>
      </c>
      <c r="I17" s="41">
        <v>17.86</v>
      </c>
      <c r="J17" s="41">
        <v>8.5</v>
      </c>
      <c r="K17" s="41">
        <f t="shared" si="0"/>
        <v>102</v>
      </c>
      <c r="L17" s="41">
        <f t="shared" si="1"/>
        <v>119.86</v>
      </c>
      <c r="M17" s="41">
        <f t="shared" si="2"/>
        <v>173.86</v>
      </c>
      <c r="N17" s="65" t="s">
        <v>186</v>
      </c>
    </row>
    <row r="18" spans="1:14" ht="96.75" thickBot="1" x14ac:dyDescent="0.3">
      <c r="A18" s="52" t="s">
        <v>81</v>
      </c>
      <c r="B18" s="41"/>
      <c r="C18" s="41" t="s">
        <v>10</v>
      </c>
      <c r="D18" s="41">
        <v>5</v>
      </c>
      <c r="E18" s="42">
        <v>1000</v>
      </c>
      <c r="F18" s="41"/>
      <c r="G18" s="42"/>
      <c r="H18" s="41">
        <f t="shared" si="3"/>
        <v>60</v>
      </c>
      <c r="I18" s="41">
        <v>17.86</v>
      </c>
      <c r="J18" s="41">
        <v>8.5</v>
      </c>
      <c r="K18" s="41">
        <f t="shared" si="0"/>
        <v>102</v>
      </c>
      <c r="L18" s="41">
        <f t="shared" si="1"/>
        <v>119.86</v>
      </c>
      <c r="M18" s="41">
        <f t="shared" si="2"/>
        <v>179.86</v>
      </c>
      <c r="N18" s="65" t="s">
        <v>172</v>
      </c>
    </row>
    <row r="19" spans="1:14" ht="144.75" thickBot="1" x14ac:dyDescent="0.3">
      <c r="A19" s="52" t="s">
        <v>82</v>
      </c>
      <c r="B19" s="41">
        <v>5.48</v>
      </c>
      <c r="C19" s="41"/>
      <c r="D19" s="41">
        <f>8.62</f>
        <v>8.6199999999999992</v>
      </c>
      <c r="E19" s="42">
        <v>1000</v>
      </c>
      <c r="F19" s="41"/>
      <c r="G19" s="42"/>
      <c r="H19" s="41">
        <f t="shared" si="3"/>
        <v>119.88</v>
      </c>
      <c r="I19" s="41">
        <v>17.86</v>
      </c>
      <c r="J19" s="41">
        <v>8.5</v>
      </c>
      <c r="K19" s="41">
        <f t="shared" si="0"/>
        <v>102</v>
      </c>
      <c r="L19" s="41">
        <f t="shared" si="1"/>
        <v>119.86</v>
      </c>
      <c r="M19" s="41">
        <f t="shared" si="2"/>
        <v>239.74</v>
      </c>
      <c r="N19" s="65" t="s">
        <v>164</v>
      </c>
    </row>
    <row r="20" spans="1:14" ht="99.75" customHeight="1" thickBot="1" x14ac:dyDescent="0.3">
      <c r="A20" s="66" t="s">
        <v>202</v>
      </c>
      <c r="B20" s="41">
        <f>9.67-5.95</f>
        <v>3.7199999999999998</v>
      </c>
      <c r="C20" s="41" t="s">
        <v>10</v>
      </c>
      <c r="D20" s="41">
        <f>11.63-8.5</f>
        <v>3.1300000000000008</v>
      </c>
      <c r="E20" s="42">
        <v>1000</v>
      </c>
      <c r="F20" s="41"/>
      <c r="G20" s="42"/>
      <c r="H20" s="41">
        <f>(B20*3)+(D20*12)</f>
        <v>48.720000000000013</v>
      </c>
      <c r="I20" s="41">
        <v>17.86</v>
      </c>
      <c r="J20" s="41">
        <v>8.5</v>
      </c>
      <c r="K20" s="41">
        <f t="shared" si="0"/>
        <v>102</v>
      </c>
      <c r="L20" s="41">
        <f t="shared" si="1"/>
        <v>119.86</v>
      </c>
      <c r="M20" s="41">
        <f t="shared" si="2"/>
        <v>168.58</v>
      </c>
      <c r="N20" s="65" t="s">
        <v>203</v>
      </c>
    </row>
    <row r="21" spans="1:14" ht="107.25" customHeight="1" thickBot="1" x14ac:dyDescent="0.3">
      <c r="A21" s="52" t="s">
        <v>76</v>
      </c>
      <c r="B21" s="41">
        <v>0.38</v>
      </c>
      <c r="C21" s="41"/>
      <c r="D21" s="41">
        <v>2.73</v>
      </c>
      <c r="E21" s="42">
        <v>1000</v>
      </c>
      <c r="F21" s="41"/>
      <c r="G21" s="42"/>
      <c r="H21" s="41">
        <f>(B21*3)+(D21*12)</f>
        <v>33.9</v>
      </c>
      <c r="I21" s="41">
        <v>17.86</v>
      </c>
      <c r="J21" s="41">
        <v>8.5</v>
      </c>
      <c r="K21" s="41">
        <f t="shared" si="0"/>
        <v>102</v>
      </c>
      <c r="L21" s="41">
        <f t="shared" si="1"/>
        <v>119.86</v>
      </c>
      <c r="M21" s="41">
        <f t="shared" si="2"/>
        <v>153.76</v>
      </c>
      <c r="N21" s="65" t="s">
        <v>196</v>
      </c>
    </row>
    <row r="22" spans="1:14" ht="80.25" customHeight="1" thickBot="1" x14ac:dyDescent="0.3">
      <c r="A22" s="52" t="s">
        <v>19</v>
      </c>
      <c r="B22" s="41"/>
      <c r="C22" s="41"/>
      <c r="D22" s="41">
        <f>73.01-(8.5*7)</f>
        <v>13.510000000000005</v>
      </c>
      <c r="E22" s="42">
        <v>7000</v>
      </c>
      <c r="F22" s="41">
        <f>10.43-8.5</f>
        <v>1.9299999999999997</v>
      </c>
      <c r="G22" s="42">
        <v>8001</v>
      </c>
      <c r="H22" s="41">
        <f>(B22*3)+(D22)+(F22*5)</f>
        <v>23.160000000000004</v>
      </c>
      <c r="I22" s="41">
        <v>17.86</v>
      </c>
      <c r="J22" s="41">
        <v>8.5</v>
      </c>
      <c r="K22" s="41">
        <f t="shared" si="0"/>
        <v>102</v>
      </c>
      <c r="L22" s="41">
        <f t="shared" si="1"/>
        <v>119.86</v>
      </c>
      <c r="M22" s="41">
        <f t="shared" si="2"/>
        <v>143.02000000000001</v>
      </c>
      <c r="N22" s="65" t="s">
        <v>195</v>
      </c>
    </row>
    <row r="23" spans="1:14" s="18" customFormat="1" ht="87.75" customHeight="1" thickBot="1" x14ac:dyDescent="0.3">
      <c r="A23" s="52" t="s">
        <v>166</v>
      </c>
      <c r="B23" s="41">
        <f>24.7-(17.86/3)</f>
        <v>18.746666666666666</v>
      </c>
      <c r="C23" s="41" t="s">
        <v>10</v>
      </c>
      <c r="D23" s="41">
        <f>11.5-8.5</f>
        <v>3</v>
      </c>
      <c r="E23" s="42">
        <v>1000</v>
      </c>
      <c r="F23" s="41"/>
      <c r="G23" s="42"/>
      <c r="H23" s="41">
        <f>(B23*3)+(D23*12)</f>
        <v>92.24</v>
      </c>
      <c r="I23" s="41">
        <v>17.86</v>
      </c>
      <c r="J23" s="41">
        <v>8.5</v>
      </c>
      <c r="K23" s="41">
        <f t="shared" si="0"/>
        <v>102</v>
      </c>
      <c r="L23" s="41">
        <f t="shared" si="1"/>
        <v>119.86</v>
      </c>
      <c r="M23" s="41">
        <f t="shared" si="2"/>
        <v>212.1</v>
      </c>
      <c r="N23" s="65" t="s">
        <v>165</v>
      </c>
    </row>
    <row r="24" spans="1:14" ht="158.25" customHeight="1" thickBot="1" x14ac:dyDescent="0.3">
      <c r="A24" s="52" t="s">
        <v>77</v>
      </c>
      <c r="B24" s="41"/>
      <c r="C24" s="41">
        <v>1</v>
      </c>
      <c r="D24" s="41">
        <v>4.32</v>
      </c>
      <c r="E24" s="42">
        <v>1000</v>
      </c>
      <c r="F24" s="41"/>
      <c r="G24" s="42"/>
      <c r="H24" s="41">
        <f>(C24)+(D24*12)</f>
        <v>52.84</v>
      </c>
      <c r="I24" s="41">
        <v>17.86</v>
      </c>
      <c r="J24" s="41">
        <v>8.5</v>
      </c>
      <c r="K24" s="41">
        <f t="shared" si="0"/>
        <v>102</v>
      </c>
      <c r="L24" s="41">
        <f t="shared" si="1"/>
        <v>119.86</v>
      </c>
      <c r="M24" s="41">
        <f t="shared" si="2"/>
        <v>172.7</v>
      </c>
      <c r="N24" s="65" t="s">
        <v>204</v>
      </c>
    </row>
    <row r="25" spans="1:14" ht="84.75" thickBot="1" x14ac:dyDescent="0.3">
      <c r="A25" s="52" t="s">
        <v>83</v>
      </c>
      <c r="B25" s="41"/>
      <c r="C25" s="41" t="s">
        <v>10</v>
      </c>
      <c r="D25" s="41">
        <v>4.05</v>
      </c>
      <c r="E25" s="42">
        <v>1000</v>
      </c>
      <c r="F25" s="41"/>
      <c r="G25" s="42"/>
      <c r="H25" s="41">
        <f>(B25*3)+(D25*12)</f>
        <v>48.599999999999994</v>
      </c>
      <c r="I25" s="41">
        <v>17.86</v>
      </c>
      <c r="J25" s="41">
        <v>8.5</v>
      </c>
      <c r="K25" s="41">
        <f t="shared" si="0"/>
        <v>102</v>
      </c>
      <c r="L25" s="41">
        <f t="shared" si="1"/>
        <v>119.86</v>
      </c>
      <c r="M25" s="41">
        <f t="shared" si="2"/>
        <v>168.45999999999998</v>
      </c>
      <c r="N25" s="65" t="s">
        <v>167</v>
      </c>
    </row>
    <row r="26" spans="1:14" ht="72.75" thickBot="1" x14ac:dyDescent="0.3">
      <c r="A26" s="52" t="s">
        <v>69</v>
      </c>
      <c r="B26" s="41"/>
      <c r="C26" s="41" t="s">
        <v>10</v>
      </c>
      <c r="D26" s="41">
        <v>7.12</v>
      </c>
      <c r="E26" s="42">
        <v>1000</v>
      </c>
      <c r="F26" s="41"/>
      <c r="G26" s="42"/>
      <c r="H26" s="41">
        <f>(B26*3)+(D26*12)</f>
        <v>85.44</v>
      </c>
      <c r="I26" s="41">
        <v>17.86</v>
      </c>
      <c r="J26" s="41">
        <v>8.5</v>
      </c>
      <c r="K26" s="41">
        <f t="shared" si="0"/>
        <v>102</v>
      </c>
      <c r="L26" s="41">
        <f t="shared" si="1"/>
        <v>119.86</v>
      </c>
      <c r="M26" s="41">
        <f t="shared" si="2"/>
        <v>205.3</v>
      </c>
      <c r="N26" s="65" t="s">
        <v>168</v>
      </c>
    </row>
    <row r="27" spans="1:14" s="18" customFormat="1" ht="120.75" thickBot="1" x14ac:dyDescent="0.3">
      <c r="A27" s="70" t="s">
        <v>209</v>
      </c>
      <c r="B27" s="67">
        <f>17-(17.86/3)</f>
        <v>11.046666666666667</v>
      </c>
      <c r="C27" s="67"/>
      <c r="D27" s="67">
        <f>12.5-8.5</f>
        <v>4</v>
      </c>
      <c r="E27" s="68">
        <v>1000</v>
      </c>
      <c r="F27" s="67"/>
      <c r="G27" s="68"/>
      <c r="H27" s="67">
        <f>(B27*3)+(D27*12)</f>
        <v>81.14</v>
      </c>
      <c r="I27" s="67">
        <v>17.86</v>
      </c>
      <c r="J27" s="67">
        <v>8.5</v>
      </c>
      <c r="K27" s="67">
        <f t="shared" si="0"/>
        <v>102</v>
      </c>
      <c r="L27" s="67">
        <f t="shared" si="1"/>
        <v>119.86</v>
      </c>
      <c r="M27" s="67">
        <f t="shared" si="2"/>
        <v>201</v>
      </c>
      <c r="N27" s="71" t="s">
        <v>208</v>
      </c>
    </row>
    <row r="28" spans="1:14" ht="134.25" customHeight="1" thickBot="1" x14ac:dyDescent="0.3">
      <c r="A28" s="52" t="s">
        <v>159</v>
      </c>
      <c r="B28" s="41">
        <f>23-5.95-(8.5*3)</f>
        <v>-8.4499999999999993</v>
      </c>
      <c r="C28" s="41"/>
      <c r="D28" s="41">
        <f>-8.45*3</f>
        <v>-25.349999999999998</v>
      </c>
      <c r="E28" s="42">
        <v>9000</v>
      </c>
      <c r="F28" s="41">
        <f>9-8.5</f>
        <v>0.5</v>
      </c>
      <c r="G28" s="42">
        <v>9001</v>
      </c>
      <c r="H28" s="41">
        <f>(D28)+(F28*3)</f>
        <v>-23.849999999999998</v>
      </c>
      <c r="I28" s="41">
        <v>17.86</v>
      </c>
      <c r="J28" s="41">
        <v>8.5</v>
      </c>
      <c r="K28" s="41">
        <f t="shared" si="0"/>
        <v>102</v>
      </c>
      <c r="L28" s="41">
        <f t="shared" si="1"/>
        <v>119.86</v>
      </c>
      <c r="M28" s="41">
        <f t="shared" si="2"/>
        <v>96.01</v>
      </c>
      <c r="N28" s="65" t="s">
        <v>169</v>
      </c>
    </row>
    <row r="29" spans="1:14" ht="192.75" customHeight="1" thickBot="1" x14ac:dyDescent="0.3">
      <c r="A29" s="70" t="s">
        <v>17</v>
      </c>
      <c r="B29" s="67"/>
      <c r="C29" s="67" t="s">
        <v>10</v>
      </c>
      <c r="D29" s="67">
        <f>(34.2-5.95-8.5)*3</f>
        <v>59.250000000000014</v>
      </c>
      <c r="E29" s="68">
        <v>3000</v>
      </c>
      <c r="F29" s="67">
        <f>15.9-8.5</f>
        <v>7.4</v>
      </c>
      <c r="G29" s="68">
        <v>4001</v>
      </c>
      <c r="H29" s="67">
        <f>(D29)*3+(F29*9)</f>
        <v>244.35000000000008</v>
      </c>
      <c r="I29" s="67">
        <v>17.86</v>
      </c>
      <c r="J29" s="67">
        <v>8.5</v>
      </c>
      <c r="K29" s="67">
        <f t="shared" si="0"/>
        <v>102</v>
      </c>
      <c r="L29" s="67">
        <f t="shared" si="1"/>
        <v>119.86</v>
      </c>
      <c r="M29" s="67">
        <f t="shared" si="2"/>
        <v>364.21000000000009</v>
      </c>
      <c r="N29" s="71" t="s">
        <v>210</v>
      </c>
    </row>
    <row r="30" spans="1:14" ht="108.75" thickBot="1" x14ac:dyDescent="0.3">
      <c r="A30" s="52" t="s">
        <v>157</v>
      </c>
      <c r="B30" s="41"/>
      <c r="C30" s="41">
        <f>42-17.86</f>
        <v>24.14</v>
      </c>
      <c r="D30" s="41">
        <f>8.1-8.5</f>
        <v>-0.40000000000000036</v>
      </c>
      <c r="E30" s="42">
        <v>1000</v>
      </c>
      <c r="F30" s="41"/>
      <c r="G30" s="42"/>
      <c r="H30" s="41">
        <f>(C30)+(D30*12)</f>
        <v>19.339999999999996</v>
      </c>
      <c r="I30" s="41">
        <v>17.86</v>
      </c>
      <c r="J30" s="41">
        <v>8.5</v>
      </c>
      <c r="K30" s="41">
        <f t="shared" si="0"/>
        <v>102</v>
      </c>
      <c r="L30" s="41">
        <f t="shared" si="1"/>
        <v>119.86</v>
      </c>
      <c r="M30" s="41">
        <f t="shared" si="2"/>
        <v>139.19999999999999</v>
      </c>
      <c r="N30" s="65" t="s">
        <v>158</v>
      </c>
    </row>
    <row r="31" spans="1:14" ht="144.75" thickBot="1" x14ac:dyDescent="0.3">
      <c r="A31" s="52" t="s">
        <v>11</v>
      </c>
      <c r="B31" s="41"/>
      <c r="C31" s="41"/>
      <c r="D31" s="41">
        <f>8.28*3</f>
        <v>24.839999999999996</v>
      </c>
      <c r="E31" s="42">
        <v>3000</v>
      </c>
      <c r="F31" s="41">
        <v>7.43</v>
      </c>
      <c r="G31" s="42">
        <v>3001</v>
      </c>
      <c r="H31" s="41">
        <f>D31+(F31*9)</f>
        <v>91.710000000000008</v>
      </c>
      <c r="I31" s="41">
        <v>17.86</v>
      </c>
      <c r="J31" s="41">
        <v>8.5</v>
      </c>
      <c r="K31" s="41">
        <f t="shared" si="0"/>
        <v>102</v>
      </c>
      <c r="L31" s="41">
        <f t="shared" si="1"/>
        <v>119.86</v>
      </c>
      <c r="M31" s="41">
        <f t="shared" si="2"/>
        <v>211.57</v>
      </c>
      <c r="N31" s="53" t="s">
        <v>146</v>
      </c>
    </row>
    <row r="32" spans="1:14" ht="75" customHeight="1" thickBot="1" x14ac:dyDescent="0.3">
      <c r="A32" s="52" t="s">
        <v>88</v>
      </c>
      <c r="B32" s="41">
        <f>13.34-(17.86/3)</f>
        <v>7.3866666666666667</v>
      </c>
      <c r="C32" s="41"/>
      <c r="D32" s="41">
        <f>7-8.5</f>
        <v>-1.5</v>
      </c>
      <c r="E32" s="42">
        <v>1000</v>
      </c>
      <c r="F32" s="41"/>
      <c r="G32" s="42"/>
      <c r="H32" s="41">
        <f>B32*3+(D32*12)</f>
        <v>4.16</v>
      </c>
      <c r="I32" s="41">
        <v>17.86</v>
      </c>
      <c r="J32" s="41">
        <v>8.5</v>
      </c>
      <c r="K32" s="41">
        <f t="shared" si="0"/>
        <v>102</v>
      </c>
      <c r="L32" s="41">
        <f t="shared" si="1"/>
        <v>119.86</v>
      </c>
      <c r="M32" s="41">
        <f>H32+L32</f>
        <v>124.02</v>
      </c>
      <c r="N32" s="65" t="s">
        <v>170</v>
      </c>
    </row>
    <row r="33" spans="1:14" ht="75" customHeight="1" thickBot="1" x14ac:dyDescent="0.3">
      <c r="A33" s="70" t="s">
        <v>206</v>
      </c>
      <c r="B33" s="67"/>
      <c r="C33" s="67">
        <f>23.73-17.86</f>
        <v>5.870000000000001</v>
      </c>
      <c r="D33" s="67">
        <f>7.94-8.5</f>
        <v>-0.55999999999999961</v>
      </c>
      <c r="E33" s="68">
        <v>1000</v>
      </c>
      <c r="F33" s="67"/>
      <c r="G33" s="68"/>
      <c r="H33" s="67">
        <f>C33+(D33*12)</f>
        <v>-0.84999999999999432</v>
      </c>
      <c r="I33" s="67">
        <v>17.86</v>
      </c>
      <c r="J33" s="67">
        <v>8.5</v>
      </c>
      <c r="K33" s="67">
        <f t="shared" si="0"/>
        <v>102</v>
      </c>
      <c r="L33" s="67">
        <f t="shared" si="1"/>
        <v>119.86</v>
      </c>
      <c r="M33" s="67">
        <f t="shared" si="2"/>
        <v>119.01</v>
      </c>
      <c r="N33" s="71" t="s">
        <v>207</v>
      </c>
    </row>
    <row r="34" spans="1:14" ht="116.25" customHeight="1" thickBot="1" x14ac:dyDescent="0.3">
      <c r="A34" s="52" t="s">
        <v>91</v>
      </c>
      <c r="B34" s="41"/>
      <c r="C34" s="41" t="s">
        <v>10</v>
      </c>
      <c r="D34" s="41">
        <f>14.5-8.5</f>
        <v>6</v>
      </c>
      <c r="E34" s="42">
        <v>1000</v>
      </c>
      <c r="F34" s="41"/>
      <c r="G34" s="42"/>
      <c r="H34" s="41">
        <f>(B34*3)+(D34*12)</f>
        <v>72</v>
      </c>
      <c r="I34" s="41">
        <v>17.86</v>
      </c>
      <c r="J34" s="41">
        <v>8.5</v>
      </c>
      <c r="K34" s="41">
        <f t="shared" si="0"/>
        <v>102</v>
      </c>
      <c r="L34" s="41">
        <f t="shared" si="1"/>
        <v>119.86</v>
      </c>
      <c r="M34" s="41">
        <f t="shared" si="2"/>
        <v>191.86</v>
      </c>
      <c r="N34" s="65" t="s">
        <v>190</v>
      </c>
    </row>
    <row r="35" spans="1:14" ht="87" customHeight="1" thickBot="1" x14ac:dyDescent="0.3">
      <c r="A35" s="52" t="s">
        <v>180</v>
      </c>
      <c r="B35" s="41"/>
      <c r="C35" s="41" t="s">
        <v>10</v>
      </c>
      <c r="D35" s="41">
        <v>3</v>
      </c>
      <c r="E35" s="42">
        <v>1000</v>
      </c>
      <c r="F35" s="41"/>
      <c r="G35" s="42"/>
      <c r="H35" s="41">
        <f>(B35*3)+(D35*12)</f>
        <v>36</v>
      </c>
      <c r="I35" s="41">
        <v>17.86</v>
      </c>
      <c r="J35" s="41">
        <v>8.5</v>
      </c>
      <c r="K35" s="41">
        <f t="shared" si="0"/>
        <v>102</v>
      </c>
      <c r="L35" s="41">
        <f t="shared" si="1"/>
        <v>119.86</v>
      </c>
      <c r="M35" s="41">
        <f t="shared" si="2"/>
        <v>155.86000000000001</v>
      </c>
      <c r="N35" s="65" t="s">
        <v>173</v>
      </c>
    </row>
    <row r="36" spans="1:14" ht="81" customHeight="1" thickBot="1" x14ac:dyDescent="0.3">
      <c r="A36" s="52" t="s">
        <v>16</v>
      </c>
      <c r="B36" s="41">
        <v>6.05</v>
      </c>
      <c r="C36" s="41"/>
      <c r="D36" s="41">
        <v>3.65</v>
      </c>
      <c r="E36" s="42">
        <v>1000</v>
      </c>
      <c r="F36" s="41"/>
      <c r="G36" s="42"/>
      <c r="H36" s="41">
        <f>(B36*3)+(D36*12)</f>
        <v>61.949999999999996</v>
      </c>
      <c r="I36" s="41">
        <v>17.86</v>
      </c>
      <c r="J36" s="41">
        <v>8.5</v>
      </c>
      <c r="K36" s="41">
        <f t="shared" si="0"/>
        <v>102</v>
      </c>
      <c r="L36" s="41">
        <f>I36+K36</f>
        <v>119.86</v>
      </c>
      <c r="M36" s="41">
        <f t="shared" si="2"/>
        <v>181.81</v>
      </c>
      <c r="N36" s="65" t="s">
        <v>174</v>
      </c>
    </row>
    <row r="37" spans="1:14" ht="102.75" customHeight="1" thickBot="1" x14ac:dyDescent="0.3">
      <c r="A37" s="52" t="s">
        <v>92</v>
      </c>
      <c r="B37" s="41"/>
      <c r="C37" s="41"/>
      <c r="D37" s="41">
        <v>4.5</v>
      </c>
      <c r="E37" s="42">
        <v>1000</v>
      </c>
      <c r="F37" s="41"/>
      <c r="G37" s="42"/>
      <c r="H37" s="41">
        <f>(B37*3)+(D37*12)</f>
        <v>54</v>
      </c>
      <c r="I37" s="41">
        <v>17.86</v>
      </c>
      <c r="J37" s="41">
        <v>8.5</v>
      </c>
      <c r="K37" s="41">
        <f t="shared" si="0"/>
        <v>102</v>
      </c>
      <c r="L37" s="41">
        <f t="shared" ref="L37:L43" si="4">I37+K37</f>
        <v>119.86</v>
      </c>
      <c r="M37" s="41">
        <f t="shared" si="2"/>
        <v>173.86</v>
      </c>
      <c r="N37" s="65" t="s">
        <v>175</v>
      </c>
    </row>
    <row r="38" spans="1:14" ht="56.25" customHeight="1" thickBot="1" x14ac:dyDescent="0.3">
      <c r="A38" s="52" t="s">
        <v>181</v>
      </c>
      <c r="B38" s="41"/>
      <c r="C38" s="41"/>
      <c r="D38" s="41"/>
      <c r="E38" s="42">
        <v>1000</v>
      </c>
      <c r="F38" s="41"/>
      <c r="G38" s="42"/>
      <c r="H38" s="41">
        <f t="shared" ref="H38" si="5">(B38*3)+(D38*13)</f>
        <v>0</v>
      </c>
      <c r="I38" s="41">
        <v>17.86</v>
      </c>
      <c r="J38" s="41">
        <v>8.5</v>
      </c>
      <c r="K38" s="41">
        <f t="shared" si="0"/>
        <v>102</v>
      </c>
      <c r="L38" s="41">
        <f t="shared" si="4"/>
        <v>119.86</v>
      </c>
      <c r="M38" s="41">
        <f t="shared" si="2"/>
        <v>119.86</v>
      </c>
      <c r="N38" s="65" t="s">
        <v>176</v>
      </c>
    </row>
    <row r="39" spans="1:14" ht="60.75" customHeight="1" thickBot="1" x14ac:dyDescent="0.3">
      <c r="A39" s="52" t="s">
        <v>18</v>
      </c>
      <c r="B39" s="41">
        <v>5.95</v>
      </c>
      <c r="C39" s="41" t="s">
        <v>10</v>
      </c>
      <c r="D39" s="41">
        <v>8.5</v>
      </c>
      <c r="E39" s="42">
        <v>1000</v>
      </c>
      <c r="F39" s="41"/>
      <c r="G39" s="42"/>
      <c r="H39" s="41">
        <f>(B39*3)+(D39*12)</f>
        <v>119.85</v>
      </c>
      <c r="I39" s="41">
        <v>17.86</v>
      </c>
      <c r="J39" s="41">
        <v>8.5</v>
      </c>
      <c r="K39" s="41">
        <f t="shared" si="0"/>
        <v>102</v>
      </c>
      <c r="L39" s="41">
        <f t="shared" si="4"/>
        <v>119.86</v>
      </c>
      <c r="M39" s="41">
        <f t="shared" si="2"/>
        <v>239.70999999999998</v>
      </c>
      <c r="N39" s="65" t="s">
        <v>177</v>
      </c>
    </row>
    <row r="40" spans="1:14" ht="63.75" customHeight="1" thickBot="1" x14ac:dyDescent="0.3">
      <c r="A40" s="52" t="s">
        <v>93</v>
      </c>
      <c r="B40" s="41">
        <f>7.23-5.95</f>
        <v>1.2800000000000002</v>
      </c>
      <c r="C40" s="41"/>
      <c r="D40" s="41">
        <f>13.05-8.5</f>
        <v>4.5500000000000007</v>
      </c>
      <c r="E40" s="42">
        <v>1000</v>
      </c>
      <c r="F40" s="41"/>
      <c r="G40" s="42"/>
      <c r="H40" s="41">
        <f>(B40*3)+(D40*12)</f>
        <v>58.440000000000012</v>
      </c>
      <c r="I40" s="41">
        <v>17.86</v>
      </c>
      <c r="J40" s="41">
        <v>8.5</v>
      </c>
      <c r="K40" s="41">
        <f t="shared" si="0"/>
        <v>102</v>
      </c>
      <c r="L40" s="41">
        <f t="shared" si="4"/>
        <v>119.86</v>
      </c>
      <c r="M40" s="41">
        <f t="shared" si="2"/>
        <v>178.3</v>
      </c>
      <c r="N40" s="65" t="s">
        <v>191</v>
      </c>
    </row>
    <row r="41" spans="1:14" ht="120.75" thickBot="1" x14ac:dyDescent="0.3">
      <c r="A41" s="52" t="s">
        <v>160</v>
      </c>
      <c r="B41" s="41">
        <f>19-5.95</f>
        <v>13.05</v>
      </c>
      <c r="C41" s="41"/>
      <c r="D41" s="41">
        <f>8.58-8.5</f>
        <v>8.0000000000000071E-2</v>
      </c>
      <c r="E41" s="42">
        <v>1000</v>
      </c>
      <c r="F41" s="41"/>
      <c r="G41" s="42"/>
      <c r="H41" s="41">
        <f>(B41*3)+(D41*12)</f>
        <v>40.110000000000007</v>
      </c>
      <c r="I41" s="41">
        <v>17.86</v>
      </c>
      <c r="J41" s="41">
        <v>8.5</v>
      </c>
      <c r="K41" s="41">
        <f t="shared" si="0"/>
        <v>102</v>
      </c>
      <c r="L41" s="41">
        <f t="shared" si="4"/>
        <v>119.86</v>
      </c>
      <c r="M41" s="41">
        <f t="shared" si="2"/>
        <v>159.97</v>
      </c>
      <c r="N41" s="65" t="s">
        <v>178</v>
      </c>
    </row>
    <row r="42" spans="1:14" ht="56.25" customHeight="1" thickBot="1" x14ac:dyDescent="0.3">
      <c r="A42" s="52" t="s">
        <v>84</v>
      </c>
      <c r="B42" s="41"/>
      <c r="C42" s="41"/>
      <c r="D42" s="41">
        <v>11.89</v>
      </c>
      <c r="E42" s="42">
        <v>4500</v>
      </c>
      <c r="F42" s="41">
        <v>2.5</v>
      </c>
      <c r="G42" s="42">
        <v>4501</v>
      </c>
      <c r="H42" s="41">
        <f>D42*3</f>
        <v>35.67</v>
      </c>
      <c r="I42" s="41">
        <v>17.86</v>
      </c>
      <c r="J42" s="41">
        <v>8.5</v>
      </c>
      <c r="K42" s="41">
        <f t="shared" si="0"/>
        <v>102</v>
      </c>
      <c r="L42" s="41">
        <f t="shared" si="4"/>
        <v>119.86</v>
      </c>
      <c r="M42" s="41">
        <f t="shared" si="2"/>
        <v>155.53</v>
      </c>
      <c r="N42" s="65" t="s">
        <v>179</v>
      </c>
    </row>
    <row r="43" spans="1:14" ht="130.5" customHeight="1" thickBot="1" x14ac:dyDescent="0.3">
      <c r="A43" s="52" t="s">
        <v>21</v>
      </c>
      <c r="B43" s="41"/>
      <c r="C43" s="41"/>
      <c r="D43" s="41">
        <f>13.43-8.5</f>
        <v>4.93</v>
      </c>
      <c r="E43" s="42">
        <v>1000</v>
      </c>
      <c r="F43" s="41"/>
      <c r="G43" s="42"/>
      <c r="H43" s="41">
        <f>C43+(D43*12)</f>
        <v>59.16</v>
      </c>
      <c r="I43" s="41">
        <v>17.86</v>
      </c>
      <c r="J43" s="41">
        <v>8.5</v>
      </c>
      <c r="K43" s="41">
        <f t="shared" si="0"/>
        <v>102</v>
      </c>
      <c r="L43" s="41">
        <f t="shared" si="4"/>
        <v>119.86</v>
      </c>
      <c r="M43" s="41">
        <f t="shared" si="2"/>
        <v>179.01999999999998</v>
      </c>
      <c r="N43" s="65" t="s">
        <v>161</v>
      </c>
    </row>
    <row r="44" spans="1:14" x14ac:dyDescent="0.25">
      <c r="A44" s="7"/>
      <c r="B44" s="15"/>
      <c r="C44" s="15"/>
      <c r="D44" s="15"/>
      <c r="E44" s="16"/>
      <c r="F44" s="16"/>
      <c r="G44" s="17"/>
      <c r="H44" s="15"/>
      <c r="I44" s="15"/>
      <c r="J44" s="15"/>
      <c r="K44" s="15"/>
      <c r="L44" s="15"/>
      <c r="M44" s="15"/>
      <c r="N44" s="2"/>
    </row>
    <row r="45" spans="1:14" x14ac:dyDescent="0.25">
      <c r="A45" s="13" t="s">
        <v>12</v>
      </c>
      <c r="B45" s="5" t="s">
        <v>46</v>
      </c>
      <c r="N45" s="2"/>
    </row>
    <row r="47" spans="1:14" x14ac:dyDescent="0.25">
      <c r="B47" s="5" t="s">
        <v>95</v>
      </c>
      <c r="L47" s="5" t="s">
        <v>10</v>
      </c>
      <c r="M47" s="14" t="s">
        <v>10</v>
      </c>
    </row>
    <row r="48" spans="1:14" ht="17.25" x14ac:dyDescent="0.25">
      <c r="B48" s="9"/>
      <c r="M48" s="14"/>
    </row>
  </sheetData>
  <sheetProtection formatCells="0" formatColumns="0" formatRows="0"/>
  <pageMargins left="0.7" right="0.7" top="0.75" bottom="0.75" header="0.3" footer="0.3"/>
  <pageSetup paperSize="17"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topLeftCell="A10" zoomScale="98" zoomScaleNormal="98" workbookViewId="0">
      <pane xSplit="1" topLeftCell="B1" activePane="topRight" state="frozen"/>
      <selection pane="topRight" activeCell="N10" sqref="N1:N1048576"/>
    </sheetView>
  </sheetViews>
  <sheetFormatPr defaultColWidth="9.140625" defaultRowHeight="15" x14ac:dyDescent="0.25"/>
  <cols>
    <col min="1" max="1" width="26.5703125" style="5" customWidth="1"/>
    <col min="2" max="2" width="9" style="5" customWidth="1"/>
    <col min="3" max="3" width="10.28515625" style="5" customWidth="1"/>
    <col min="4" max="4" width="8.7109375" style="5" customWidth="1"/>
    <col min="5" max="5" width="10" style="5" customWidth="1"/>
    <col min="6" max="6" width="7.42578125" style="5" customWidth="1"/>
    <col min="7" max="7" width="7.5703125" style="5" customWidth="1"/>
    <col min="8" max="8" width="14.7109375" style="5" customWidth="1"/>
    <col min="9" max="10" width="10.7109375" style="5" customWidth="1"/>
    <col min="11" max="11" width="16.42578125" style="5" customWidth="1"/>
    <col min="12" max="12" width="18.85546875" style="5" customWidth="1"/>
    <col min="13" max="13" width="11.42578125" style="5" bestFit="1" customWidth="1"/>
    <col min="14" max="14" width="44.42578125" style="32" hidden="1" customWidth="1"/>
    <col min="15" max="17" width="9.140625" style="5"/>
    <col min="18" max="18" width="13.85546875" style="5" customWidth="1"/>
    <col min="19" max="16384" width="9.140625" style="5"/>
  </cols>
  <sheetData>
    <row r="1" spans="1:18" ht="18.75" x14ac:dyDescent="0.3">
      <c r="A1" s="10" t="s">
        <v>97</v>
      </c>
    </row>
    <row r="2" spans="1:18" ht="15.75" x14ac:dyDescent="0.25">
      <c r="A2" s="11" t="s">
        <v>13</v>
      </c>
      <c r="L2" s="8"/>
    </row>
    <row r="3" spans="1:18" x14ac:dyDescent="0.25">
      <c r="A3" s="5" t="s">
        <v>48</v>
      </c>
      <c r="B3" s="3"/>
    </row>
    <row r="4" spans="1:18" x14ac:dyDescent="0.25">
      <c r="A4" s="5" t="s">
        <v>98</v>
      </c>
      <c r="C4" s="3"/>
      <c r="D4" s="3"/>
    </row>
    <row r="5" spans="1:18" ht="15.75" thickBot="1" x14ac:dyDescent="0.3">
      <c r="C5" s="3"/>
      <c r="D5" s="3"/>
    </row>
    <row r="6" spans="1:18" ht="36.75" customHeight="1" thickBot="1" x14ac:dyDescent="0.3">
      <c r="A6" s="23" t="s">
        <v>40</v>
      </c>
      <c r="B6" s="24" t="s">
        <v>1</v>
      </c>
      <c r="C6" s="24"/>
      <c r="D6" s="24" t="s">
        <v>28</v>
      </c>
      <c r="E6" s="24"/>
      <c r="F6" s="24" t="s">
        <v>2</v>
      </c>
      <c r="G6" s="24"/>
      <c r="H6" s="23" t="s">
        <v>43</v>
      </c>
      <c r="I6" s="23" t="s">
        <v>36</v>
      </c>
      <c r="J6" s="23" t="s">
        <v>37</v>
      </c>
      <c r="K6" s="23" t="s">
        <v>3</v>
      </c>
      <c r="L6" s="23" t="s">
        <v>44</v>
      </c>
      <c r="M6" s="23" t="s">
        <v>42</v>
      </c>
      <c r="N6" s="33" t="s">
        <v>51</v>
      </c>
    </row>
    <row r="7" spans="1:18" ht="45.75" thickBot="1" x14ac:dyDescent="0.3">
      <c r="A7" s="26"/>
      <c r="B7" s="24" t="s">
        <v>4</v>
      </c>
      <c r="C7" s="24" t="s">
        <v>5</v>
      </c>
      <c r="D7" s="24" t="s">
        <v>6</v>
      </c>
      <c r="E7" s="24" t="s">
        <v>7</v>
      </c>
      <c r="F7" s="24" t="s">
        <v>6</v>
      </c>
      <c r="G7" s="24" t="s">
        <v>8</v>
      </c>
      <c r="H7" s="27" t="s">
        <v>124</v>
      </c>
      <c r="I7" s="27" t="s">
        <v>9</v>
      </c>
      <c r="J7" s="27" t="s">
        <v>38</v>
      </c>
      <c r="K7" s="27" t="s">
        <v>99</v>
      </c>
      <c r="L7" s="27" t="s">
        <v>99</v>
      </c>
      <c r="M7" s="27" t="s">
        <v>45</v>
      </c>
      <c r="N7" s="34"/>
      <c r="O7" s="6"/>
      <c r="P7" s="6"/>
      <c r="Q7" s="6"/>
      <c r="R7" s="6"/>
    </row>
    <row r="8" spans="1:18" ht="144.75" thickBot="1" x14ac:dyDescent="0.3">
      <c r="A8" s="40" t="s">
        <v>123</v>
      </c>
      <c r="B8" s="41"/>
      <c r="C8" s="41"/>
      <c r="D8" s="41">
        <v>2.5</v>
      </c>
      <c r="E8" s="42">
        <v>1000</v>
      </c>
      <c r="F8" s="41"/>
      <c r="G8" s="42"/>
      <c r="H8" s="41">
        <f>(C8)+(D8*12)</f>
        <v>30</v>
      </c>
      <c r="I8" s="41">
        <v>17.86</v>
      </c>
      <c r="J8" s="41">
        <v>8.5</v>
      </c>
      <c r="K8" s="41">
        <f t="shared" ref="K8:K34" si="0">8.5*12</f>
        <v>102</v>
      </c>
      <c r="L8" s="41">
        <f t="shared" ref="L8:L34" si="1">I8+K8</f>
        <v>119.86</v>
      </c>
      <c r="M8" s="41">
        <f t="shared" ref="M8:M34" si="2">H8+L8</f>
        <v>149.86000000000001</v>
      </c>
      <c r="N8" s="53" t="s">
        <v>125</v>
      </c>
      <c r="O8" s="8"/>
      <c r="P8" s="8"/>
      <c r="Q8" s="8"/>
      <c r="R8" s="8"/>
    </row>
    <row r="9" spans="1:18" ht="79.5" customHeight="1" thickBot="1" x14ac:dyDescent="0.3">
      <c r="A9" s="40" t="s">
        <v>86</v>
      </c>
      <c r="B9" s="41"/>
      <c r="C9" s="41">
        <v>9.9499999999999993</v>
      </c>
      <c r="D9" s="41">
        <v>2.1</v>
      </c>
      <c r="E9" s="42">
        <v>1000</v>
      </c>
      <c r="F9" s="41"/>
      <c r="G9" s="42"/>
      <c r="H9" s="41">
        <f>(C9)+(D9*12)</f>
        <v>35.150000000000006</v>
      </c>
      <c r="I9" s="41">
        <v>17.86</v>
      </c>
      <c r="J9" s="41">
        <v>8.5</v>
      </c>
      <c r="K9" s="41">
        <f t="shared" si="0"/>
        <v>102</v>
      </c>
      <c r="L9" s="41">
        <f t="shared" si="1"/>
        <v>119.86</v>
      </c>
      <c r="M9" s="41">
        <f t="shared" si="2"/>
        <v>155.01</v>
      </c>
      <c r="N9" s="53" t="s">
        <v>126</v>
      </c>
      <c r="O9" s="8"/>
      <c r="P9" s="8"/>
      <c r="Q9" s="8"/>
      <c r="R9" s="8"/>
    </row>
    <row r="10" spans="1:18" ht="117" customHeight="1" thickBot="1" x14ac:dyDescent="0.3">
      <c r="A10" s="24" t="s">
        <v>72</v>
      </c>
      <c r="B10" s="67"/>
      <c r="C10" s="67">
        <v>2</v>
      </c>
      <c r="D10" s="67">
        <v>2.5</v>
      </c>
      <c r="E10" s="68">
        <v>1000</v>
      </c>
      <c r="F10" s="67" t="s">
        <v>10</v>
      </c>
      <c r="G10" s="68" t="s">
        <v>10</v>
      </c>
      <c r="H10" s="67">
        <f>(C10)+(D10*12)</f>
        <v>32</v>
      </c>
      <c r="I10" s="67">
        <v>17.86</v>
      </c>
      <c r="J10" s="67">
        <v>8.5</v>
      </c>
      <c r="K10" s="67">
        <f t="shared" si="0"/>
        <v>102</v>
      </c>
      <c r="L10" s="67">
        <f t="shared" si="1"/>
        <v>119.86</v>
      </c>
      <c r="M10" s="67">
        <f t="shared" si="2"/>
        <v>151.86000000000001</v>
      </c>
      <c r="N10" s="69" t="s">
        <v>205</v>
      </c>
      <c r="O10" s="8"/>
      <c r="P10" s="8"/>
      <c r="Q10" s="8"/>
      <c r="R10" s="8"/>
    </row>
    <row r="11" spans="1:18" ht="132.75" customHeight="1" thickBot="1" x14ac:dyDescent="0.3">
      <c r="A11" s="40" t="s">
        <v>184</v>
      </c>
      <c r="B11" s="41"/>
      <c r="C11" s="41">
        <f>18.27-17.86</f>
        <v>0.41000000000000014</v>
      </c>
      <c r="D11" s="41">
        <f>11.76-8.5</f>
        <v>3.26</v>
      </c>
      <c r="E11" s="42">
        <v>1000</v>
      </c>
      <c r="F11" s="41"/>
      <c r="G11" s="42"/>
      <c r="H11" s="41">
        <f>(C11)+(D11*12)</f>
        <v>39.53</v>
      </c>
      <c r="I11" s="41">
        <v>17.86</v>
      </c>
      <c r="J11" s="41">
        <v>8.5</v>
      </c>
      <c r="K11" s="41">
        <f t="shared" si="0"/>
        <v>102</v>
      </c>
      <c r="L11" s="41">
        <f t="shared" si="1"/>
        <v>119.86</v>
      </c>
      <c r="M11" s="41">
        <f t="shared" si="2"/>
        <v>159.38999999999999</v>
      </c>
      <c r="N11" s="53" t="s">
        <v>189</v>
      </c>
      <c r="O11" s="8"/>
      <c r="P11" s="8"/>
      <c r="Q11" s="8"/>
      <c r="R11" s="8"/>
    </row>
    <row r="12" spans="1:18" ht="77.25" customHeight="1" thickBot="1" x14ac:dyDescent="0.3">
      <c r="A12" s="40" t="s">
        <v>87</v>
      </c>
      <c r="B12" s="41"/>
      <c r="C12" s="41"/>
      <c r="D12" s="41">
        <v>0</v>
      </c>
      <c r="E12" s="42">
        <v>1000</v>
      </c>
      <c r="F12" s="41"/>
      <c r="G12" s="42"/>
      <c r="H12" s="41">
        <f>(C12)+(D12*13)</f>
        <v>0</v>
      </c>
      <c r="I12" s="41">
        <v>17.86</v>
      </c>
      <c r="J12" s="41">
        <v>8.5</v>
      </c>
      <c r="K12" s="41">
        <f t="shared" si="0"/>
        <v>102</v>
      </c>
      <c r="L12" s="41">
        <f t="shared" si="1"/>
        <v>119.86</v>
      </c>
      <c r="M12" s="41">
        <f t="shared" si="2"/>
        <v>119.86</v>
      </c>
      <c r="N12" s="53" t="s">
        <v>199</v>
      </c>
      <c r="O12" s="8"/>
      <c r="P12" s="8"/>
      <c r="Q12" s="8"/>
      <c r="R12" s="8"/>
    </row>
    <row r="13" spans="1:18" ht="194.25" customHeight="1" thickBot="1" x14ac:dyDescent="0.3">
      <c r="A13" s="40" t="s">
        <v>35</v>
      </c>
      <c r="B13" s="41"/>
      <c r="C13" s="41">
        <f>45</f>
        <v>45</v>
      </c>
      <c r="D13" s="41">
        <f>28.56-17.86-8.5</f>
        <v>2.1999999999999993</v>
      </c>
      <c r="E13" s="42">
        <v>1000</v>
      </c>
      <c r="F13" s="41">
        <f>10.7-8.5</f>
        <v>2.1999999999999993</v>
      </c>
      <c r="G13" s="42">
        <v>2001</v>
      </c>
      <c r="H13" s="41">
        <f>(C13)+D13 +(F13*11)</f>
        <v>71.399999999999991</v>
      </c>
      <c r="I13" s="41">
        <v>17.86</v>
      </c>
      <c r="J13" s="41">
        <v>8.5</v>
      </c>
      <c r="K13" s="41">
        <f t="shared" si="0"/>
        <v>102</v>
      </c>
      <c r="L13" s="41">
        <f t="shared" si="1"/>
        <v>119.86</v>
      </c>
      <c r="M13" s="41">
        <f t="shared" si="2"/>
        <v>191.26</v>
      </c>
      <c r="N13" s="53" t="s">
        <v>127</v>
      </c>
      <c r="O13" s="8"/>
      <c r="P13" s="8"/>
      <c r="Q13" s="8"/>
      <c r="R13" s="8"/>
    </row>
    <row r="14" spans="1:18" ht="137.25" customHeight="1" thickBot="1" x14ac:dyDescent="0.3">
      <c r="A14" s="40" t="s">
        <v>75</v>
      </c>
      <c r="B14" s="41"/>
      <c r="C14" s="41">
        <f>19.86-17.86</f>
        <v>2</v>
      </c>
      <c r="D14" s="41">
        <f>13.85-8.5</f>
        <v>5.35</v>
      </c>
      <c r="E14" s="42">
        <v>1000</v>
      </c>
      <c r="F14" s="41" t="s">
        <v>10</v>
      </c>
      <c r="G14" s="42" t="s">
        <v>10</v>
      </c>
      <c r="H14" s="41">
        <f>(C14)+(D14*12)</f>
        <v>66.199999999999989</v>
      </c>
      <c r="I14" s="41">
        <v>17.86</v>
      </c>
      <c r="J14" s="41">
        <v>8.5</v>
      </c>
      <c r="K14" s="41">
        <f t="shared" si="0"/>
        <v>102</v>
      </c>
      <c r="L14" s="41">
        <f t="shared" si="1"/>
        <v>119.86</v>
      </c>
      <c r="M14" s="41">
        <f t="shared" si="2"/>
        <v>186.06</v>
      </c>
      <c r="N14" s="53" t="s">
        <v>198</v>
      </c>
      <c r="O14" s="8"/>
      <c r="P14" s="8"/>
      <c r="Q14" s="8"/>
      <c r="R14" s="8"/>
    </row>
    <row r="15" spans="1:18" ht="75" customHeight="1" thickBot="1" x14ac:dyDescent="0.3">
      <c r="A15" s="40" t="s">
        <v>22</v>
      </c>
      <c r="B15" s="41">
        <f>19.07/2</f>
        <v>9.5350000000000001</v>
      </c>
      <c r="C15" s="41"/>
      <c r="D15" s="41">
        <f>12.81-8.5</f>
        <v>4.3100000000000005</v>
      </c>
      <c r="E15" s="42">
        <v>1000</v>
      </c>
      <c r="F15" s="41"/>
      <c r="G15" s="42"/>
      <c r="H15" s="41">
        <f>(B15*3)+(D15*12)</f>
        <v>80.325000000000003</v>
      </c>
      <c r="I15" s="41">
        <v>17.86</v>
      </c>
      <c r="J15" s="41">
        <v>8.5</v>
      </c>
      <c r="K15" s="41">
        <f t="shared" si="0"/>
        <v>102</v>
      </c>
      <c r="L15" s="41">
        <f t="shared" si="1"/>
        <v>119.86</v>
      </c>
      <c r="M15" s="41">
        <f t="shared" si="2"/>
        <v>200.185</v>
      </c>
      <c r="N15" s="53" t="s">
        <v>137</v>
      </c>
      <c r="O15" s="8"/>
      <c r="P15" s="8"/>
      <c r="Q15" s="8"/>
      <c r="R15" s="8"/>
    </row>
    <row r="16" spans="1:18" ht="61.5" customHeight="1" thickBot="1" x14ac:dyDescent="0.3">
      <c r="A16" s="40" t="s">
        <v>73</v>
      </c>
      <c r="B16" s="41"/>
      <c r="C16" s="41">
        <v>60</v>
      </c>
      <c r="D16" s="41">
        <v>4.66</v>
      </c>
      <c r="E16" s="42">
        <v>1000</v>
      </c>
      <c r="F16" s="41" t="s">
        <v>10</v>
      </c>
      <c r="G16" s="42" t="s">
        <v>10</v>
      </c>
      <c r="H16" s="41">
        <f t="shared" ref="H16:H22" si="3">(C16)+(D16*12)</f>
        <v>115.92</v>
      </c>
      <c r="I16" s="41">
        <v>17.86</v>
      </c>
      <c r="J16" s="41">
        <v>8.5</v>
      </c>
      <c r="K16" s="41">
        <f t="shared" si="0"/>
        <v>102</v>
      </c>
      <c r="L16" s="41">
        <f t="shared" si="1"/>
        <v>119.86</v>
      </c>
      <c r="M16" s="41">
        <f t="shared" si="2"/>
        <v>235.78</v>
      </c>
      <c r="N16" s="53" t="s">
        <v>130</v>
      </c>
      <c r="O16" s="8"/>
      <c r="P16" s="8"/>
      <c r="Q16" s="8"/>
      <c r="R16" s="8"/>
    </row>
    <row r="17" spans="1:18" ht="72.75" customHeight="1" thickBot="1" x14ac:dyDescent="0.3">
      <c r="A17" s="40" t="s">
        <v>52</v>
      </c>
      <c r="B17" s="41"/>
      <c r="C17" s="41">
        <f>21.25-17.86</f>
        <v>3.3900000000000006</v>
      </c>
      <c r="D17" s="41">
        <f>7.55-8.5</f>
        <v>-0.95000000000000018</v>
      </c>
      <c r="E17" s="42">
        <v>1000</v>
      </c>
      <c r="F17" s="41"/>
      <c r="G17" s="42"/>
      <c r="H17" s="41">
        <f t="shared" si="3"/>
        <v>-8.0100000000000016</v>
      </c>
      <c r="I17" s="41">
        <v>17.86</v>
      </c>
      <c r="J17" s="41">
        <v>8.5</v>
      </c>
      <c r="K17" s="41">
        <f t="shared" si="0"/>
        <v>102</v>
      </c>
      <c r="L17" s="41">
        <f t="shared" si="1"/>
        <v>119.86</v>
      </c>
      <c r="M17" s="41">
        <f t="shared" si="2"/>
        <v>111.85</v>
      </c>
      <c r="N17" s="53" t="s">
        <v>136</v>
      </c>
      <c r="O17" s="8"/>
      <c r="P17" s="8"/>
      <c r="Q17" s="8"/>
      <c r="R17" s="8"/>
    </row>
    <row r="18" spans="1:18" ht="99.75" customHeight="1" thickBot="1" x14ac:dyDescent="0.3">
      <c r="A18" s="40" t="s">
        <v>133</v>
      </c>
      <c r="B18" s="41"/>
      <c r="C18" s="41">
        <v>50</v>
      </c>
      <c r="D18" s="41">
        <v>2.25</v>
      </c>
      <c r="E18" s="42">
        <v>1000</v>
      </c>
      <c r="F18" s="41"/>
      <c r="G18" s="42"/>
      <c r="H18" s="41">
        <f t="shared" si="3"/>
        <v>77</v>
      </c>
      <c r="I18" s="41">
        <v>17.86</v>
      </c>
      <c r="J18" s="41">
        <v>8.5</v>
      </c>
      <c r="K18" s="41">
        <f t="shared" si="0"/>
        <v>102</v>
      </c>
      <c r="L18" s="41">
        <f t="shared" si="1"/>
        <v>119.86</v>
      </c>
      <c r="M18" s="41">
        <f t="shared" si="2"/>
        <v>196.86</v>
      </c>
      <c r="N18" s="53" t="s">
        <v>139</v>
      </c>
      <c r="O18" s="8"/>
      <c r="P18" s="8"/>
      <c r="Q18" s="8"/>
      <c r="R18" s="8"/>
    </row>
    <row r="19" spans="1:18" ht="94.5" customHeight="1" thickBot="1" x14ac:dyDescent="0.3">
      <c r="A19" s="40" t="s">
        <v>134</v>
      </c>
      <c r="B19" s="41"/>
      <c r="C19" s="41"/>
      <c r="D19" s="41">
        <v>2.25</v>
      </c>
      <c r="E19" s="42">
        <v>1000</v>
      </c>
      <c r="F19" s="41"/>
      <c r="G19" s="42"/>
      <c r="H19" s="41">
        <f t="shared" si="3"/>
        <v>27</v>
      </c>
      <c r="I19" s="41">
        <v>17.86</v>
      </c>
      <c r="J19" s="41">
        <v>8.5</v>
      </c>
      <c r="K19" s="41">
        <f t="shared" si="0"/>
        <v>102</v>
      </c>
      <c r="L19" s="41">
        <f t="shared" si="1"/>
        <v>119.86</v>
      </c>
      <c r="M19" s="41">
        <f t="shared" si="2"/>
        <v>146.86000000000001</v>
      </c>
      <c r="N19" s="53" t="s">
        <v>140</v>
      </c>
      <c r="O19" s="8"/>
      <c r="P19" s="8"/>
      <c r="Q19" s="8"/>
      <c r="R19" s="8"/>
    </row>
    <row r="20" spans="1:18" ht="149.25" customHeight="1" thickBot="1" x14ac:dyDescent="0.3">
      <c r="A20" s="40" t="s">
        <v>132</v>
      </c>
      <c r="B20" s="41"/>
      <c r="C20" s="41">
        <v>75</v>
      </c>
      <c r="D20" s="41">
        <v>2.25</v>
      </c>
      <c r="E20" s="42">
        <v>1000</v>
      </c>
      <c r="F20" s="41"/>
      <c r="G20" s="42"/>
      <c r="H20" s="41">
        <f t="shared" si="3"/>
        <v>102</v>
      </c>
      <c r="I20" s="41">
        <v>17.86</v>
      </c>
      <c r="J20" s="41">
        <v>8.5</v>
      </c>
      <c r="K20" s="41">
        <f t="shared" si="0"/>
        <v>102</v>
      </c>
      <c r="L20" s="41">
        <f t="shared" si="1"/>
        <v>119.86</v>
      </c>
      <c r="M20" s="41">
        <f t="shared" si="2"/>
        <v>221.86</v>
      </c>
      <c r="N20" s="53" t="s">
        <v>138</v>
      </c>
      <c r="O20" s="8"/>
      <c r="P20" s="8"/>
      <c r="Q20" s="8"/>
      <c r="R20" s="8"/>
    </row>
    <row r="21" spans="1:18" ht="138" customHeight="1" thickBot="1" x14ac:dyDescent="0.3">
      <c r="A21" s="40" t="s">
        <v>89</v>
      </c>
      <c r="B21" s="41"/>
      <c r="C21" s="41">
        <f>18.69-17.86</f>
        <v>0.83000000000000185</v>
      </c>
      <c r="D21" s="41">
        <f>11.94-8.5</f>
        <v>3.4399999999999995</v>
      </c>
      <c r="E21" s="42">
        <v>1000</v>
      </c>
      <c r="F21" s="41"/>
      <c r="G21" s="42"/>
      <c r="H21" s="41">
        <f t="shared" si="3"/>
        <v>42.11</v>
      </c>
      <c r="I21" s="41">
        <v>17.86</v>
      </c>
      <c r="J21" s="41">
        <v>8.5</v>
      </c>
      <c r="K21" s="41">
        <f t="shared" si="0"/>
        <v>102</v>
      </c>
      <c r="L21" s="41">
        <f t="shared" si="1"/>
        <v>119.86</v>
      </c>
      <c r="M21" s="41">
        <f t="shared" si="2"/>
        <v>161.97</v>
      </c>
      <c r="N21" s="53" t="s">
        <v>197</v>
      </c>
      <c r="O21" s="8"/>
      <c r="P21" s="8"/>
      <c r="Q21" s="8"/>
      <c r="R21" s="8"/>
    </row>
    <row r="22" spans="1:18" ht="87" customHeight="1" thickBot="1" x14ac:dyDescent="0.3">
      <c r="A22" s="40" t="s">
        <v>27</v>
      </c>
      <c r="B22" s="41"/>
      <c r="C22" s="41">
        <f>21.25-17.86</f>
        <v>3.3900000000000006</v>
      </c>
      <c r="D22" s="41">
        <f>7.55-8.5</f>
        <v>-0.95000000000000018</v>
      </c>
      <c r="E22" s="42">
        <v>1000</v>
      </c>
      <c r="F22" s="41"/>
      <c r="G22" s="42"/>
      <c r="H22" s="41">
        <f t="shared" si="3"/>
        <v>-8.0100000000000016</v>
      </c>
      <c r="I22" s="41">
        <v>17.86</v>
      </c>
      <c r="J22" s="41">
        <v>8.5</v>
      </c>
      <c r="K22" s="41">
        <f t="shared" si="0"/>
        <v>102</v>
      </c>
      <c r="L22" s="41">
        <f t="shared" si="1"/>
        <v>119.86</v>
      </c>
      <c r="M22" s="41">
        <f t="shared" si="2"/>
        <v>111.85</v>
      </c>
      <c r="N22" s="53" t="s">
        <v>135</v>
      </c>
      <c r="O22" s="8"/>
      <c r="P22" s="8"/>
      <c r="Q22" s="8"/>
      <c r="R22" s="8"/>
    </row>
    <row r="23" spans="1:18" ht="131.25" customHeight="1" thickBot="1" x14ac:dyDescent="0.3">
      <c r="A23" s="40" t="s">
        <v>192</v>
      </c>
      <c r="B23" s="41">
        <f>7.35-5.95</f>
        <v>1.3999999999999995</v>
      </c>
      <c r="C23" s="41"/>
      <c r="D23" s="41">
        <v>14.5</v>
      </c>
      <c r="E23" s="42">
        <v>5000</v>
      </c>
      <c r="F23" s="41">
        <f>(10.35-8.5) +6</f>
        <v>7.85</v>
      </c>
      <c r="G23" s="42">
        <v>5001</v>
      </c>
      <c r="H23" s="41">
        <f>(B23*3)+D23+(F23*7)</f>
        <v>73.649999999999991</v>
      </c>
      <c r="I23" s="41">
        <v>17.86</v>
      </c>
      <c r="J23" s="41">
        <v>8.5</v>
      </c>
      <c r="K23" s="41">
        <f t="shared" si="0"/>
        <v>102</v>
      </c>
      <c r="L23" s="41">
        <f t="shared" si="1"/>
        <v>119.86</v>
      </c>
      <c r="M23" s="41">
        <f t="shared" si="2"/>
        <v>193.51</v>
      </c>
      <c r="N23" s="53" t="s">
        <v>194</v>
      </c>
      <c r="O23" s="8"/>
      <c r="P23" s="8"/>
      <c r="Q23" s="8"/>
      <c r="R23" s="8"/>
    </row>
    <row r="24" spans="1:18" ht="76.5" customHeight="1" thickBot="1" x14ac:dyDescent="0.3">
      <c r="A24" s="40" t="s">
        <v>78</v>
      </c>
      <c r="B24" s="41"/>
      <c r="C24" s="41">
        <f>10.61-17.86</f>
        <v>-7.25</v>
      </c>
      <c r="D24" s="41">
        <f>17.3-8.5</f>
        <v>8.8000000000000007</v>
      </c>
      <c r="E24" s="42">
        <v>1000</v>
      </c>
      <c r="F24" s="41"/>
      <c r="G24" s="42"/>
      <c r="H24" s="41">
        <f>(C24)+(D24*12)</f>
        <v>98.350000000000009</v>
      </c>
      <c r="I24" s="41">
        <v>17.86</v>
      </c>
      <c r="J24" s="41">
        <v>8.5</v>
      </c>
      <c r="K24" s="41">
        <f t="shared" si="0"/>
        <v>102</v>
      </c>
      <c r="L24" s="41">
        <f t="shared" si="1"/>
        <v>119.86</v>
      </c>
      <c r="M24" s="41">
        <f t="shared" si="2"/>
        <v>218.21</v>
      </c>
      <c r="N24" s="53" t="s">
        <v>151</v>
      </c>
      <c r="O24" s="8"/>
      <c r="P24" s="8"/>
      <c r="Q24" s="8"/>
      <c r="R24" s="8"/>
    </row>
    <row r="25" spans="1:18" ht="120.75" thickBot="1" x14ac:dyDescent="0.3">
      <c r="A25" s="40" t="s">
        <v>131</v>
      </c>
      <c r="B25" s="41"/>
      <c r="C25" s="41">
        <v>5.75</v>
      </c>
      <c r="D25" s="41">
        <v>2.35</v>
      </c>
      <c r="E25" s="42">
        <v>1000</v>
      </c>
      <c r="F25" s="41"/>
      <c r="G25" s="42"/>
      <c r="H25" s="41">
        <f>(C25)+(D25*12)</f>
        <v>33.950000000000003</v>
      </c>
      <c r="I25" s="41">
        <v>17.86</v>
      </c>
      <c r="J25" s="41">
        <v>8.5</v>
      </c>
      <c r="K25" s="41">
        <f t="shared" si="0"/>
        <v>102</v>
      </c>
      <c r="L25" s="41">
        <f t="shared" si="1"/>
        <v>119.86</v>
      </c>
      <c r="M25" s="41">
        <f t="shared" si="2"/>
        <v>153.81</v>
      </c>
      <c r="N25" s="53" t="s">
        <v>193</v>
      </c>
      <c r="O25" s="8"/>
      <c r="P25" s="8"/>
      <c r="Q25" s="8"/>
      <c r="R25" s="8"/>
    </row>
    <row r="26" spans="1:18" ht="156.75" thickBot="1" x14ac:dyDescent="0.3">
      <c r="A26" s="40" t="s">
        <v>142</v>
      </c>
      <c r="B26" s="41"/>
      <c r="C26" s="41">
        <f>60.76-17.86</f>
        <v>42.9</v>
      </c>
      <c r="D26" s="41">
        <f>10.05-8.5</f>
        <v>1.5500000000000007</v>
      </c>
      <c r="E26" s="42">
        <v>1000</v>
      </c>
      <c r="F26" s="41"/>
      <c r="G26" s="42"/>
      <c r="H26" s="41">
        <f>(C26)+(D26*12)</f>
        <v>61.500000000000007</v>
      </c>
      <c r="I26" s="41">
        <v>17.86</v>
      </c>
      <c r="J26" s="41">
        <v>8.5</v>
      </c>
      <c r="K26" s="41">
        <f t="shared" si="0"/>
        <v>102</v>
      </c>
      <c r="L26" s="41">
        <f t="shared" si="1"/>
        <v>119.86</v>
      </c>
      <c r="M26" s="41">
        <f t="shared" si="2"/>
        <v>181.36</v>
      </c>
      <c r="N26" s="53" t="s">
        <v>141</v>
      </c>
      <c r="O26" s="8"/>
      <c r="P26" s="8"/>
      <c r="Q26" s="8"/>
      <c r="R26" s="8"/>
    </row>
    <row r="27" spans="1:18" ht="104.25" customHeight="1" thickBot="1" x14ac:dyDescent="0.3">
      <c r="A27" s="52" t="s">
        <v>11</v>
      </c>
      <c r="B27" s="41"/>
      <c r="C27" s="41"/>
      <c r="D27" s="41">
        <f>8.28*3</f>
        <v>24.839999999999996</v>
      </c>
      <c r="E27" s="42">
        <v>3000</v>
      </c>
      <c r="F27" s="41">
        <v>7.43</v>
      </c>
      <c r="G27" s="42">
        <v>3001</v>
      </c>
      <c r="H27" s="41">
        <f>D27+(F27*9)</f>
        <v>91.710000000000008</v>
      </c>
      <c r="I27" s="41">
        <v>17.86</v>
      </c>
      <c r="J27" s="41">
        <v>8.5</v>
      </c>
      <c r="K27" s="41">
        <f t="shared" si="0"/>
        <v>102</v>
      </c>
      <c r="L27" s="41">
        <f t="shared" si="1"/>
        <v>119.86</v>
      </c>
      <c r="M27" s="41">
        <f t="shared" si="2"/>
        <v>211.57</v>
      </c>
      <c r="N27" s="53" t="s">
        <v>146</v>
      </c>
      <c r="O27" s="8"/>
      <c r="P27" s="8"/>
      <c r="Q27" s="8"/>
      <c r="R27" s="8"/>
    </row>
    <row r="28" spans="1:18" ht="71.25" customHeight="1" thickBot="1" x14ac:dyDescent="0.3">
      <c r="A28" s="40" t="s">
        <v>25</v>
      </c>
      <c r="B28" s="41"/>
      <c r="C28" s="41"/>
      <c r="D28" s="41">
        <f>10.79-8.5</f>
        <v>2.2899999999999991</v>
      </c>
      <c r="E28" s="42">
        <v>1000</v>
      </c>
      <c r="F28" s="41"/>
      <c r="G28" s="42"/>
      <c r="H28" s="41">
        <f>D28*12</f>
        <v>27.47999999999999</v>
      </c>
      <c r="I28" s="41">
        <v>17.86</v>
      </c>
      <c r="J28" s="41">
        <v>8.5</v>
      </c>
      <c r="K28" s="41">
        <f t="shared" si="0"/>
        <v>102</v>
      </c>
      <c r="L28" s="41">
        <f t="shared" si="1"/>
        <v>119.86</v>
      </c>
      <c r="M28" s="41">
        <f t="shared" si="2"/>
        <v>147.33999999999997</v>
      </c>
      <c r="N28" s="53" t="s">
        <v>149</v>
      </c>
      <c r="O28" s="8"/>
      <c r="P28" s="8"/>
      <c r="Q28" s="8"/>
      <c r="R28" s="8"/>
    </row>
    <row r="29" spans="1:18" ht="72.75" customHeight="1" thickBot="1" x14ac:dyDescent="0.3">
      <c r="A29" s="40" t="s">
        <v>26</v>
      </c>
      <c r="B29" s="41"/>
      <c r="C29" s="41"/>
      <c r="D29" s="41">
        <f>14.29-8.5</f>
        <v>5.7899999999999991</v>
      </c>
      <c r="E29" s="42">
        <v>1000</v>
      </c>
      <c r="F29" s="41"/>
      <c r="G29" s="42"/>
      <c r="H29" s="41">
        <f>(D29)*12</f>
        <v>69.47999999999999</v>
      </c>
      <c r="I29" s="41">
        <v>17.86</v>
      </c>
      <c r="J29" s="41">
        <v>8.5</v>
      </c>
      <c r="K29" s="41">
        <f t="shared" si="0"/>
        <v>102</v>
      </c>
      <c r="L29" s="41">
        <f t="shared" si="1"/>
        <v>119.86</v>
      </c>
      <c r="M29" s="41">
        <f t="shared" si="2"/>
        <v>189.33999999999997</v>
      </c>
      <c r="N29" s="53" t="s">
        <v>150</v>
      </c>
      <c r="O29" s="8"/>
      <c r="P29" s="8"/>
      <c r="Q29" s="8"/>
      <c r="R29" s="8"/>
    </row>
    <row r="30" spans="1:18" ht="63.75" customHeight="1" thickBot="1" x14ac:dyDescent="0.3">
      <c r="A30" s="40" t="s">
        <v>54</v>
      </c>
      <c r="B30" s="41"/>
      <c r="C30" s="41">
        <v>4.5</v>
      </c>
      <c r="D30" s="41">
        <v>4.5</v>
      </c>
      <c r="E30" s="42">
        <v>1000</v>
      </c>
      <c r="F30" s="41"/>
      <c r="G30" s="42"/>
      <c r="H30" s="41">
        <f>(C30)+(D30*12)</f>
        <v>58.5</v>
      </c>
      <c r="I30" s="41">
        <v>17.86</v>
      </c>
      <c r="J30" s="41">
        <v>8.5</v>
      </c>
      <c r="K30" s="41">
        <f t="shared" si="0"/>
        <v>102</v>
      </c>
      <c r="L30" s="41">
        <f t="shared" si="1"/>
        <v>119.86</v>
      </c>
      <c r="M30" s="41">
        <f t="shared" si="2"/>
        <v>178.36</v>
      </c>
      <c r="N30" s="53" t="s">
        <v>148</v>
      </c>
      <c r="O30" s="8"/>
      <c r="P30" s="8"/>
      <c r="Q30" s="8"/>
      <c r="R30" s="8"/>
    </row>
    <row r="31" spans="1:18" ht="81" customHeight="1" thickBot="1" x14ac:dyDescent="0.3">
      <c r="A31" s="40" t="s">
        <v>55</v>
      </c>
      <c r="B31" s="41"/>
      <c r="C31" s="41">
        <f>6.32/2*3</f>
        <v>9.48</v>
      </c>
      <c r="D31" s="41">
        <v>2</v>
      </c>
      <c r="E31" s="42">
        <v>1000</v>
      </c>
      <c r="F31" s="41" t="s">
        <v>10</v>
      </c>
      <c r="G31" s="42" t="s">
        <v>10</v>
      </c>
      <c r="H31" s="41">
        <f>(C31)+(D31*12)</f>
        <v>33.480000000000004</v>
      </c>
      <c r="I31" s="41">
        <v>17.86</v>
      </c>
      <c r="J31" s="41">
        <v>8.5</v>
      </c>
      <c r="K31" s="41">
        <f t="shared" si="0"/>
        <v>102</v>
      </c>
      <c r="L31" s="41">
        <f t="shared" si="1"/>
        <v>119.86</v>
      </c>
      <c r="M31" s="41">
        <f t="shared" si="2"/>
        <v>153.34</v>
      </c>
      <c r="N31" s="53" t="s">
        <v>143</v>
      </c>
      <c r="O31" s="8"/>
      <c r="P31" s="8"/>
      <c r="Q31" s="8"/>
      <c r="R31" s="8"/>
    </row>
    <row r="32" spans="1:18" ht="192.75" thickBot="1" x14ac:dyDescent="0.3">
      <c r="A32" s="40" t="s">
        <v>144</v>
      </c>
      <c r="B32" s="41"/>
      <c r="C32" s="41"/>
      <c r="D32" s="41">
        <f>3.5*3/2*3</f>
        <v>15.75</v>
      </c>
      <c r="E32" s="42">
        <v>3000</v>
      </c>
      <c r="F32" s="41">
        <v>3.5</v>
      </c>
      <c r="G32" s="42">
        <v>3001</v>
      </c>
      <c r="H32" s="41">
        <f>(D32)+(F32*9)</f>
        <v>47.25</v>
      </c>
      <c r="I32" s="41">
        <v>17.86</v>
      </c>
      <c r="J32" s="41">
        <v>8.5</v>
      </c>
      <c r="K32" s="41">
        <f t="shared" si="0"/>
        <v>102</v>
      </c>
      <c r="L32" s="41">
        <f t="shared" si="1"/>
        <v>119.86</v>
      </c>
      <c r="M32" s="41">
        <f t="shared" si="2"/>
        <v>167.11</v>
      </c>
      <c r="N32" s="53" t="s">
        <v>145</v>
      </c>
      <c r="O32" s="8"/>
      <c r="P32" s="8"/>
      <c r="Q32" s="8"/>
      <c r="R32" s="8"/>
    </row>
    <row r="33" spans="1:18" ht="177.75" customHeight="1" thickBot="1" x14ac:dyDescent="0.3">
      <c r="A33" s="40" t="s">
        <v>14</v>
      </c>
      <c r="B33" s="41"/>
      <c r="C33" s="41"/>
      <c r="D33" s="41">
        <f>(33.24*1.5)-17.86 -(3*8.5)</f>
        <v>6.5</v>
      </c>
      <c r="E33" s="42">
        <v>3000</v>
      </c>
      <c r="F33" s="41">
        <f>10.7-8.5</f>
        <v>2.1999999999999993</v>
      </c>
      <c r="G33" s="42">
        <v>3001</v>
      </c>
      <c r="H33" s="41">
        <f>(D33)+(F33*9)</f>
        <v>26.299999999999994</v>
      </c>
      <c r="I33" s="41">
        <v>17.86</v>
      </c>
      <c r="J33" s="41">
        <v>8.5</v>
      </c>
      <c r="K33" s="41">
        <f t="shared" si="0"/>
        <v>102</v>
      </c>
      <c r="L33" s="41">
        <f t="shared" si="1"/>
        <v>119.86</v>
      </c>
      <c r="M33" s="41">
        <f t="shared" si="2"/>
        <v>146.16</v>
      </c>
      <c r="N33" s="53" t="s">
        <v>152</v>
      </c>
      <c r="O33" s="8"/>
      <c r="P33" s="8"/>
      <c r="Q33" s="8"/>
      <c r="R33" s="8"/>
    </row>
    <row r="34" spans="1:18" ht="77.25" customHeight="1" thickBot="1" x14ac:dyDescent="0.3">
      <c r="A34" s="40" t="s">
        <v>68</v>
      </c>
      <c r="B34" s="41">
        <v>13.15</v>
      </c>
      <c r="C34" s="41"/>
      <c r="D34" s="41">
        <v>3.99</v>
      </c>
      <c r="E34" s="42">
        <v>1000</v>
      </c>
      <c r="F34" s="41"/>
      <c r="G34" s="42"/>
      <c r="H34" s="41">
        <f>(B34*3)+(D34*12)</f>
        <v>87.330000000000013</v>
      </c>
      <c r="I34" s="41">
        <v>17.86</v>
      </c>
      <c r="J34" s="41">
        <v>8.5</v>
      </c>
      <c r="K34" s="41">
        <f t="shared" si="0"/>
        <v>102</v>
      </c>
      <c r="L34" s="41">
        <f t="shared" si="1"/>
        <v>119.86</v>
      </c>
      <c r="M34" s="41">
        <f t="shared" si="2"/>
        <v>207.19</v>
      </c>
      <c r="N34" s="53" t="s">
        <v>182</v>
      </c>
      <c r="O34" s="8"/>
      <c r="P34" s="8"/>
      <c r="Q34" s="8"/>
      <c r="R34" s="8"/>
    </row>
    <row r="35" spans="1:18" x14ac:dyDescent="0.25">
      <c r="I35" s="5" t="s">
        <v>10</v>
      </c>
      <c r="K35" s="5" t="s">
        <v>10</v>
      </c>
    </row>
    <row r="36" spans="1:18" x14ac:dyDescent="0.25">
      <c r="A36" s="3" t="s">
        <v>12</v>
      </c>
      <c r="B36" s="4" t="s">
        <v>46</v>
      </c>
    </row>
    <row r="38" spans="1:18" x14ac:dyDescent="0.25">
      <c r="B38" s="5" t="s">
        <v>94</v>
      </c>
    </row>
  </sheetData>
  <sheetProtection formatCells="0" formatColumns="0" formatRows="0"/>
  <sortState xmlns:xlrd2="http://schemas.microsoft.com/office/spreadsheetml/2017/richdata2" ref="A8:N34">
    <sortCondition ref="A8:A34"/>
  </sortState>
  <pageMargins left="0.7" right="0.7" top="0.75" bottom="0.75" header="0.3" footer="0.3"/>
  <pageSetup paperSize="17" scale="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ALCOSAN Eastern Basin</vt:lpstr>
      <vt:lpstr>ALCOSAN Southern Basin</vt:lpstr>
      <vt:lpstr>ALCOSAN Northern Basin</vt:lpstr>
      <vt:lpstr>'ALCOSAN Eastern Basin'!Print_Area</vt:lpstr>
      <vt:lpstr>'ALCOSAN Northern Basin'!Print_Area</vt:lpstr>
      <vt:lpstr>'ALCOSAN Southern Basin'!Print_Area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2020-06-08T18:10:32Z</cp:lastPrinted>
  <dcterms:created xsi:type="dcterms:W3CDTF">2010-10-20T16:43:27Z</dcterms:created>
  <dcterms:modified xsi:type="dcterms:W3CDTF">2020-08-04T18:39:55Z</dcterms:modified>
</cp:coreProperties>
</file>